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6380" windowHeight="8190" tabRatio="590"/>
  </bookViews>
  <sheets>
    <sheet name="MED OU POLY" sheetId="7" r:id="rId1"/>
    <sheet name="DENT" sheetId="8" r:id="rId2"/>
    <sheet name="INF" sheetId="9" r:id="rId3"/>
  </sheets>
  <calcPr calcId="125725" iterateDelta="1E-4"/>
</workbook>
</file>

<file path=xl/calcChain.xml><?xml version="1.0" encoding="utf-8"?>
<calcChain xmlns="http://schemas.openxmlformats.org/spreadsheetml/2006/main">
  <c r="G5" i="8"/>
  <c r="H32" i="7"/>
  <c r="H24" i="9" l="1"/>
  <c r="H12"/>
  <c r="H29" i="7"/>
  <c r="H28"/>
  <c r="H22"/>
  <c r="H11" i="8" l="1"/>
  <c r="H40" i="7"/>
  <c r="F40" s="1"/>
  <c r="H19"/>
  <c r="F19" s="1"/>
  <c r="F7" i="8" l="1"/>
  <c r="F5" s="1"/>
  <c r="H8"/>
  <c r="H10" i="7" l="1"/>
  <c r="H35" i="9"/>
  <c r="F35" s="1"/>
  <c r="H33"/>
  <c r="F33" s="1"/>
  <c r="H17"/>
  <c r="F17" s="1"/>
  <c r="F5" s="1"/>
  <c r="G5" l="1"/>
  <c r="F26"/>
  <c r="G26" s="1"/>
  <c r="H22"/>
  <c r="F22" s="1"/>
  <c r="F20" s="1"/>
  <c r="G20" s="1"/>
  <c r="F24"/>
  <c r="F12"/>
  <c r="H11"/>
  <c r="F11" s="1"/>
  <c r="H7"/>
  <c r="F7" s="1"/>
  <c r="H31"/>
  <c r="F31" s="1"/>
  <c r="H29"/>
  <c r="F29" s="1"/>
  <c r="H28"/>
  <c r="F28" s="1"/>
  <c r="H31" i="8"/>
  <c r="F31" s="1"/>
  <c r="F24" s="1"/>
  <c r="G24" s="1"/>
  <c r="H22"/>
  <c r="F22" s="1"/>
  <c r="H21"/>
  <c r="F21" s="1"/>
  <c r="H19"/>
  <c r="F19" s="1"/>
  <c r="F17" s="1"/>
  <c r="G17" s="1"/>
  <c r="H15"/>
  <c r="F15" s="1"/>
  <c r="H13"/>
  <c r="F13" s="1"/>
  <c r="I1" i="9" l="1"/>
  <c r="H10" i="8"/>
  <c r="H9"/>
  <c r="H29"/>
  <c r="F29" s="1"/>
  <c r="I1" s="1"/>
  <c r="H27"/>
  <c r="F27" s="1"/>
  <c r="H26"/>
  <c r="F26" s="1"/>
  <c r="H11" i="7"/>
  <c r="H53"/>
  <c r="H51"/>
  <c r="H50"/>
  <c r="H49"/>
  <c r="H47"/>
  <c r="F47" s="1"/>
  <c r="H45"/>
  <c r="F45" s="1"/>
  <c r="H44"/>
  <c r="F44" s="1"/>
  <c r="H37"/>
  <c r="H36"/>
  <c r="H34"/>
  <c r="H33"/>
  <c r="F49" l="1"/>
  <c r="H35"/>
  <c r="F32" s="1"/>
  <c r="H38"/>
  <c r="F36" s="1"/>
  <c r="H27"/>
  <c r="H30" s="1"/>
  <c r="F27" s="1"/>
  <c r="H21"/>
  <c r="H17"/>
  <c r="H15"/>
  <c r="H16"/>
  <c r="H12"/>
  <c r="H13" s="1"/>
  <c r="F9" l="1"/>
  <c r="H23"/>
  <c r="F21" s="1"/>
  <c r="H18"/>
  <c r="F15" s="1"/>
  <c r="F7" l="1"/>
  <c r="G7" s="1"/>
  <c r="F42" l="1"/>
  <c r="G42" s="1"/>
  <c r="F25"/>
  <c r="G25" s="1"/>
  <c r="I1" l="1"/>
</calcChain>
</file>

<file path=xl/sharedStrings.xml><?xml version="1.0" encoding="utf-8"?>
<sst xmlns="http://schemas.openxmlformats.org/spreadsheetml/2006/main" count="285" uniqueCount="135">
  <si>
    <t>Coordination externe</t>
  </si>
  <si>
    <t>Information du public</t>
  </si>
  <si>
    <t>Missions de santé publique</t>
  </si>
  <si>
    <t>Bloc commun principal socle</t>
  </si>
  <si>
    <t>Accès à des soins non programmés chaque jour ouvré</t>
  </si>
  <si>
    <t>Coordination interne organisée avec responsable identifié</t>
  </si>
  <si>
    <t>-</t>
  </si>
  <si>
    <t>Minoration amplitude</t>
  </si>
  <si>
    <t>Minoration fermeture(s) annuelle(s)</t>
  </si>
  <si>
    <t>Minoration fermeture du samedi</t>
  </si>
  <si>
    <t>Base</t>
  </si>
  <si>
    <t>Minoration de 120 pts si centre fermé le samedi</t>
  </si>
  <si>
    <t>Minoration de 30 pts par semaine de fermeture dans la limite de 3 semaines</t>
  </si>
  <si>
    <t>Travail en équipe</t>
  </si>
  <si>
    <t>Concertation pluriprofessionnelle formalisée et régulière</t>
  </si>
  <si>
    <t>Score</t>
  </si>
  <si>
    <t>Minoration de 150 pts si amplitude &lt; 10 h / de 60 pts si amplitude &lt; 12 h</t>
  </si>
  <si>
    <t>Accès aux soins</t>
  </si>
  <si>
    <t>Rémunération sur base variable de 1000 points (pour 4 000 patients)</t>
  </si>
  <si>
    <t>Base compte tenu de la patientèle</t>
  </si>
  <si>
    <t>Si la structure est dépourvue d'activité paramédicale : les concertations précitées associent-elles au moins un professionnel paramédical conventionné à cet effet ?</t>
  </si>
  <si>
    <t>Protocoles pluriprofessionnels</t>
  </si>
  <si>
    <t>Rémunération optionnelle de 200 points pour centre avec forte activité dentaire si au moins 3 réunions annuelles de coordination entre chirurgiens dentistes</t>
  </si>
  <si>
    <t>Minoration "prof. paramédical"</t>
  </si>
  <si>
    <t>Minoration de 250 pts si concertation sans aucun auxiliaire médical associé / de 150 pts si centre sans activité paramédicale mais concertation organisée par convention et effective avec auxiliaire(s) médical(aux) externe(s)</t>
  </si>
  <si>
    <t>Rémunération de 100 points par protocole dans la limite de 500 points</t>
  </si>
  <si>
    <t>Nombre de protocoles pluriprofessionnels
(au moins deux professions de santé associées)</t>
  </si>
  <si>
    <t xml:space="preserve">Jusqu'au 31/12/2016 : </t>
  </si>
  <si>
    <t>A compter du 01/01/2017 :</t>
  </si>
  <si>
    <r>
      <t xml:space="preserve">Système d'information partagé et compatible avec le DMP </t>
    </r>
    <r>
      <rPr>
        <u/>
        <sz val="11"/>
        <color indexed="8"/>
        <rFont val="Calibri"/>
        <family val="2"/>
      </rPr>
      <t>ou</t>
    </r>
    <r>
      <rPr>
        <sz val="11"/>
        <color indexed="8"/>
        <rFont val="Calibri"/>
        <family val="2"/>
        <charset val="1"/>
      </rPr>
      <t xml:space="preserve"> système d'information labellisé niveau 1 ou 2 par l'ASIP Santé</t>
    </r>
  </si>
  <si>
    <t>Structure avec forte activité dentaire ?</t>
  </si>
  <si>
    <r>
      <t xml:space="preserve">Système d'information labellisé niveau 1 ou 2 par l'ASIP Santé </t>
    </r>
    <r>
      <rPr>
        <i/>
        <u/>
        <sz val="11"/>
        <color theme="0" tint="-0.499984740745262"/>
        <rFont val="Calibri"/>
        <family val="2"/>
      </rPr>
      <t>et</t>
    </r>
    <r>
      <rPr>
        <i/>
        <sz val="11"/>
        <color theme="0" tint="-0.499984740745262"/>
        <rFont val="Calibri"/>
        <family val="2"/>
      </rPr>
      <t xml:space="preserve"> :
- si 1ère année d'utilisation du logiciel : au moins un tiers des dossiers renseignés
- si  2è année d'utilisation : au moins deux tiers des dossiers renseignés</t>
    </r>
  </si>
  <si>
    <t>Bloc commun principal optionnel</t>
  </si>
  <si>
    <t>Système d'information</t>
  </si>
  <si>
    <t>Option : coordination des chirurgiens dentistes</t>
  </si>
  <si>
    <t>Nombre de missions de santé publique réalisées</t>
  </si>
  <si>
    <t>Rémunération sur base variable de 350 points (pour 4 000 patients) par mission dans la limite de 2 missions différentes</t>
  </si>
  <si>
    <t>Nombre (de 0 à 2 ici) de missions de santé publique réalisées</t>
  </si>
  <si>
    <t>Base compte tenu de la patientèle (missions 1 à 2)</t>
  </si>
  <si>
    <t>Rémunération sur base fixe de 450 points par stage dans la limite de 2 stages</t>
  </si>
  <si>
    <t>Rémunération sur base variable de 200 points (pour 450 patients) par mission dans la limite d'une mission "infirmière" (au-delà des 2 précédemment comptabilisées)</t>
  </si>
  <si>
    <t>Rémunération sur base variable de 200 points (pour 2600 patients) par mission dans la limite d'une mission "dentaire" (au-delà des 2 précédemment comptabilisées)</t>
  </si>
  <si>
    <t>Si structure avec forte activité infirmière, au moins une mission de santé publique "infirmière" supplémentaire (au-delà des 2 précédemment comptabilisées)</t>
  </si>
  <si>
    <t>Si structure avec forte activité dentaire, au moins une mission de santé publique "dentaire" supplémentaire (au-delà des 2 précédemment comptabilisées)</t>
  </si>
  <si>
    <t>Si structure avec forte activité infirmière, au moins un stage infirmier en plus des 2 précédemment comptabilisés</t>
  </si>
  <si>
    <t>Si structure avec forte activité dentaire, au moins un stage dentaire en plus des 2 précédemment comptabilisés</t>
  </si>
  <si>
    <t>Base (stages 1 à 2)</t>
  </si>
  <si>
    <t>Supplément : 3ème mission, "infirmière"</t>
  </si>
  <si>
    <t>Supplément : 3ème mission, "dentaire"</t>
  </si>
  <si>
    <t>Supplément : 3ème stage, "infirmier"</t>
  </si>
  <si>
    <t>Supplément : 3ème stage, "dentaire"</t>
  </si>
  <si>
    <t>Formation des jeunes professionnels de santé</t>
  </si>
  <si>
    <t>Coordination organisée et formalisée avec les professionnels et structures externes</t>
  </si>
  <si>
    <t>Rémunération sur base variable de 200 points (pour 4 000 patients)</t>
  </si>
  <si>
    <t>Si structure avec forte activité dentaire, au moins 10 bilans bucco-dentaires réalisés par an dans le cadre de contrat(s) passé(s) avec structure(s) externe(s)</t>
  </si>
  <si>
    <t>Supplément : BBD dans cadre contractuel</t>
  </si>
  <si>
    <r>
      <t>Système d'information</t>
    </r>
    <r>
      <rPr>
        <sz val="11"/>
        <color indexed="8"/>
        <rFont val="Calibri"/>
        <family val="2"/>
        <charset val="1"/>
      </rPr>
      <t xml:space="preserve"> labellisé niveau 2 par l'ASIP Santé</t>
    </r>
  </si>
  <si>
    <t>Bloc commun complémentaire (optionnel)</t>
  </si>
  <si>
    <t>Accompagnement des publics vulnérables</t>
  </si>
  <si>
    <t>Part (%) du public vulnérable pris en charge dans un cadre conventionnel</t>
  </si>
  <si>
    <t>Rémunération de 200 points (si &gt;2%)   /    de 100 points (si &lt;= 2%)</t>
  </si>
  <si>
    <t>Rémunération fixe de 225 points pour au moins un stage infirmier supplémentaire</t>
  </si>
  <si>
    <t>Rémunérationfixe de 225 points pour au moins un stage dentaire supplémentaire</t>
  </si>
  <si>
    <t>Rémunération fixe de 200 points</t>
  </si>
  <si>
    <t>Rémunération fixe de 100 points -  au prorata temporis selon date d'acquisition</t>
  </si>
  <si>
    <t>Rémunération fixe de 50 points</t>
  </si>
  <si>
    <t>Démarche qualité</t>
  </si>
  <si>
    <t>Niveau (de 1 à 4) atteint dans la démarche d'auto-évaluation avec production d'un PAQ</t>
  </si>
  <si>
    <t>Rémunération de 550 points au maximum, selon niveau atteint</t>
  </si>
  <si>
    <t>Mise à disposition par le MT à ces patients d'une synthèse annuelle</t>
  </si>
  <si>
    <t>Rémunération sur base variable de 150 points (pour 4 000 patients)</t>
  </si>
  <si>
    <t>Rémunération fixe de 75 points</t>
  </si>
  <si>
    <t>Scannérisation des ordonnances (SCOR)</t>
  </si>
  <si>
    <t>Taux de télétransmission &gt;= 70 %</t>
  </si>
  <si>
    <t>Rémunération sur base variable de 440 points (pour 11 ETP médicaux et paramédicaux)</t>
  </si>
  <si>
    <t>Rémunération sur base variable de 46 points (pour 3,3 ETP paramédicaux)</t>
  </si>
  <si>
    <t>Nb ETP médicaux et paramédicaux :</t>
  </si>
  <si>
    <t>Nb ETP paramédicaux :</t>
  </si>
  <si>
    <t>Supplément pour centre avec forte activité dentaire : rémunération sur base variable de 450 points (pour 2 600 patients) - au prorata temporis selon date d'acquisition</t>
  </si>
  <si>
    <t>Rémunération sur base fixe de 850 points et sur base variable de 1500 points (pour 4 000 patients) - au prorata temporis selon date d'acquisition</t>
  </si>
  <si>
    <t>CENTRE DE SANTE MEDICAL OU POLYVALENT</t>
  </si>
  <si>
    <t>CENTRE DE SANTE DENTAIRE</t>
  </si>
  <si>
    <t>Minoration de 70 pts si amplitude &lt; 10 h / de 30 pts si amplitude &lt; 12 h</t>
  </si>
  <si>
    <t>Minoration de 50 pts si centre fermé le samedi</t>
  </si>
  <si>
    <t>Minoration de 20 pts si fermeture pendant congés scolaires</t>
  </si>
  <si>
    <t>Ouvert le samedi matin</t>
  </si>
  <si>
    <t>Au moins 3 réunions de coordination entre chirurgiens dentistes par an</t>
  </si>
  <si>
    <t>Rémunération sur base fixe de 250 points et sur base variable de 450 points (pour 2 600 patients) - au prorata temporis selon date d'acquisition</t>
  </si>
  <si>
    <t>Nombre de missions de santé publique prévues contractuellement et réalisées</t>
  </si>
  <si>
    <t>Rémunération fixe de 250 points</t>
  </si>
  <si>
    <t>Au moins un stagiaire en chirurgie dentaire accueilli en interne</t>
  </si>
  <si>
    <t>Nb contrats avec structure(s) externe(s) ayant donné lieu chacun à la réalisation d'au moins 10 bilans bucco-dentaires dans l'année</t>
  </si>
  <si>
    <t>Rémunération fixe de 250 points par contrat dans la limite de 2 contrats</t>
  </si>
  <si>
    <t>Infomations utiles mises en ligne sur ameli.fr</t>
  </si>
  <si>
    <t>Rémunération sur base variable de 120 points (pour 3 ETP chirurgiens dentistes)</t>
  </si>
  <si>
    <t>Nb ETP chirurgiens dentistes :</t>
  </si>
  <si>
    <t>Charte d'engagements affichée</t>
  </si>
  <si>
    <t>Rémunération fixe de 400 points</t>
  </si>
  <si>
    <t>Rémunération fixe de 1200 points seulement si les 3 critères sont remplis</t>
  </si>
  <si>
    <t>Rémunération fixe de 600 points seulement si les 3 critères sont remplis</t>
  </si>
  <si>
    <t>Au moins une semaine 
de fermeture dans l'année
pendant des congés scolaires</t>
  </si>
  <si>
    <t>Rémunération fixe de 400 points seulement si les 3 critères sont remplis</t>
  </si>
  <si>
    <t xml:space="preserve">Accès garanti à des soins programmés 24h/24 et 365j/365 (voire astreinte de nuit) </t>
  </si>
  <si>
    <t>Au moins 6 réunions de coordination entre infirmiers par an</t>
  </si>
  <si>
    <t>Concertation professionnelle formalisée et régulière</t>
  </si>
  <si>
    <t>Système d'information pour tenue de dossiers informatisés, à terme "DMP compatible"</t>
  </si>
  <si>
    <t>Rémunération sur base variable de 300 points (pour 450 patients) seulement si les 4 critères sont remplis</t>
  </si>
  <si>
    <t>Partage d'informations et coordination organisés avec  au moins 2 structures externes dans un cadre conventionnel</t>
  </si>
  <si>
    <t>Tenue à jour d'un répertoire de l'offre sanitaire et sociale</t>
  </si>
  <si>
    <t>Information du MT concerné en cas d'injection du vaccin antigrippal à tout patient</t>
  </si>
  <si>
    <t>Procédure établie  pour la transmission de données de santé aux professionnels et structures extérieurs</t>
  </si>
  <si>
    <t>Rémunération sur base variable de 200 points (pour 2 600 patients) par mission dans la limite d'une mission par contrat</t>
  </si>
  <si>
    <t>Rémunération sur base variable de 200 points (pour 450 patients) dans la limite de deux missions différentes</t>
  </si>
  <si>
    <t>Au moins un stagiaire en soins infirmiers accueilli en interne</t>
  </si>
  <si>
    <t>Niveau du système d'information :
- 1er niveau : solution limitée à la tenue de dossiers informatisés
- 2ème niveau : système intégrant de plus l'utilisation de solutions mobiles, et à terme "DMP compatible"</t>
  </si>
  <si>
    <t>Nb ETP :</t>
  </si>
  <si>
    <t>Rémunération sur base fixe de 400 points et sur base variable de 600 points (pour 6 ETP), pour le niveau 2.
Le niveau 1 peut être rémunéré jusqu'au 01/07/2017 avec minoration de 200 points en part fixe et de 300 points en part variable (pour 6 ETP).
La rémunération est calculée au prorata temporis selon date d'acquisition.</t>
  </si>
  <si>
    <t>Utilisation des téléservices</t>
  </si>
  <si>
    <t>Rémunération sur base variable de 240 points (pour 6 ETP paramédicaux)</t>
  </si>
  <si>
    <t>Rémunération sur base variable de 83 points (pour 6 ETP paramédicaux)</t>
  </si>
  <si>
    <t>CENTRE DE SANTE INFIRMIER</t>
  </si>
  <si>
    <t>Patientèle (patientèle de référence = 4 000)</t>
  </si>
  <si>
    <t>Patientèle (patientèle de référence = 2 600)</t>
  </si>
  <si>
    <t>Patientèle (patientèle de référence = 450)</t>
  </si>
  <si>
    <t>Une réunion en moyenne par mois et concernant globalement sur l'année au moins 3% de l'ensemble des patients</t>
  </si>
  <si>
    <t>(option) Au moins 3 réunions de coordination entre chirurgiens dentistes par an</t>
  </si>
  <si>
    <t>Durée d'ouverture par jour
(amplitude des horaires)</t>
  </si>
  <si>
    <t>Accessibilité du centre de santé</t>
  </si>
  <si>
    <t>Supplément forte activité dentaire</t>
  </si>
  <si>
    <t>Nombre de semaines de 
fermeture dans l'année
pendant des congés scolaires</t>
  </si>
  <si>
    <t>Nombre (de 0 à 2 ici) de stages par an de professionnels de santé (accueillis en interne)</t>
  </si>
  <si>
    <t>Patientèle soins dentaires (patientèle de réf. = 2 600)</t>
  </si>
  <si>
    <t>Patientèle soins infirmiers (patientèle de réf. = 450)</t>
  </si>
  <si>
    <t>Moins de 10 h (et + de 8)</t>
  </si>
  <si>
    <t>oui</t>
  </si>
</sst>
</file>

<file path=xl/styles.xml><?xml version="1.0" encoding="utf-8"?>
<styleSheet xmlns="http://schemas.openxmlformats.org/spreadsheetml/2006/main">
  <numFmts count="1">
    <numFmt numFmtId="164" formatCode="0.0%"/>
  </numFmts>
  <fonts count="18">
    <font>
      <sz val="11"/>
      <color indexed="8"/>
      <name val="Calibri"/>
      <family val="2"/>
      <charset val="1"/>
    </font>
    <font>
      <b/>
      <sz val="11"/>
      <color indexed="8"/>
      <name val="Calibri"/>
      <family val="2"/>
    </font>
    <font>
      <sz val="11"/>
      <name val="Calibri"/>
      <family val="2"/>
      <charset val="1"/>
    </font>
    <font>
      <sz val="11"/>
      <color indexed="8"/>
      <name val="Calibri"/>
      <family val="2"/>
    </font>
    <font>
      <i/>
      <sz val="11"/>
      <name val="Calibri"/>
      <family val="2"/>
      <charset val="1"/>
    </font>
    <font>
      <u/>
      <sz val="11"/>
      <color indexed="8"/>
      <name val="Calibri"/>
      <family val="2"/>
    </font>
    <font>
      <i/>
      <sz val="11"/>
      <color theme="0" tint="-0.499984740745262"/>
      <name val="Calibri"/>
      <family val="2"/>
    </font>
    <font>
      <i/>
      <u/>
      <sz val="11"/>
      <color theme="0" tint="-0.499984740745262"/>
      <name val="Calibri"/>
      <family val="2"/>
    </font>
    <font>
      <sz val="11"/>
      <color indexed="8"/>
      <name val="Calibri"/>
      <family val="2"/>
      <charset val="1"/>
    </font>
    <font>
      <i/>
      <sz val="8"/>
      <color indexed="8"/>
      <name val="Calibri"/>
      <family val="2"/>
    </font>
    <font>
      <sz val="20"/>
      <color indexed="8"/>
      <name val="Calibri"/>
      <family val="2"/>
      <charset val="1"/>
    </font>
    <font>
      <b/>
      <sz val="20"/>
      <color indexed="8"/>
      <name val="Calibri"/>
      <family val="2"/>
      <charset val="1"/>
    </font>
    <font>
      <b/>
      <sz val="14"/>
      <color theme="0"/>
      <name val="Calibri"/>
      <family val="2"/>
    </font>
    <font>
      <b/>
      <sz val="14"/>
      <name val="Calibri"/>
      <family val="2"/>
    </font>
    <font>
      <sz val="14"/>
      <color indexed="8"/>
      <name val="Calibri"/>
      <family val="2"/>
    </font>
    <font>
      <sz val="20"/>
      <name val="Calibri"/>
      <family val="2"/>
      <charset val="1"/>
    </font>
    <font>
      <b/>
      <sz val="20"/>
      <color indexed="8"/>
      <name val="Calibri"/>
      <family val="2"/>
    </font>
    <font>
      <b/>
      <sz val="14"/>
      <color rgb="FFC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medium">
        <color indexed="64"/>
      </right>
      <top style="thin">
        <color theme="0" tint="-0.499984740745262"/>
      </top>
      <bottom/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medium">
        <color indexed="64"/>
      </right>
      <top/>
      <bottom style="thin">
        <color theme="0" tint="-0.499984740745262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205">
    <xf numFmtId="0" fontId="0" fillId="0" borderId="0" xfId="0"/>
    <xf numFmtId="3" fontId="1" fillId="2" borderId="0" xfId="0" applyNumberFormat="1" applyFont="1" applyFill="1" applyAlignment="1" applyProtection="1">
      <alignment horizontal="center" vertical="center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164" fontId="1" fillId="2" borderId="11" xfId="1" quotePrefix="1" applyNumberFormat="1" applyFont="1" applyFill="1" applyBorder="1" applyAlignment="1" applyProtection="1">
      <alignment horizontal="center" vertical="center"/>
      <protection locked="0"/>
    </xf>
    <xf numFmtId="0" fontId="1" fillId="2" borderId="16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 applyProtection="1">
      <alignment horizontal="left" vertical="top"/>
      <protection locked="0"/>
    </xf>
    <xf numFmtId="0" fontId="4" fillId="2" borderId="8" xfId="0" applyFont="1" applyFill="1" applyBorder="1" applyAlignment="1" applyProtection="1">
      <alignment horizontal="left" vertical="top"/>
      <protection locked="0"/>
    </xf>
    <xf numFmtId="3" fontId="1" fillId="3" borderId="0" xfId="0" applyNumberFormat="1" applyFont="1" applyFill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5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11" xfId="0" quotePrefix="1" applyFont="1" applyFill="1" applyBorder="1" applyAlignment="1" applyProtection="1">
      <alignment horizontal="center" vertical="center"/>
      <protection locked="0"/>
    </xf>
    <xf numFmtId="164" fontId="1" fillId="3" borderId="11" xfId="1" quotePrefix="1" applyNumberFormat="1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left" vertical="top"/>
      <protection locked="0"/>
    </xf>
    <xf numFmtId="3" fontId="1" fillId="4" borderId="0" xfId="0" applyNumberFormat="1" applyFont="1" applyFill="1" applyAlignment="1" applyProtection="1">
      <alignment horizontal="center" vertical="center"/>
      <protection locked="0"/>
    </xf>
    <xf numFmtId="0" fontId="1" fillId="4" borderId="0" xfId="0" applyFont="1" applyFill="1" applyBorder="1" applyAlignment="1" applyProtection="1">
      <alignment horizontal="center" vertical="center"/>
      <protection locked="0"/>
    </xf>
    <xf numFmtId="0" fontId="1" fillId="4" borderId="11" xfId="0" applyFont="1" applyFill="1" applyBorder="1" applyAlignment="1" applyProtection="1">
      <alignment horizontal="center" vertical="center"/>
      <protection locked="0"/>
    </xf>
    <xf numFmtId="0" fontId="1" fillId="4" borderId="13" xfId="0" applyFont="1" applyFill="1" applyBorder="1" applyAlignment="1" applyProtection="1">
      <alignment horizontal="center" vertical="center"/>
      <protection locked="0"/>
    </xf>
    <xf numFmtId="0" fontId="1" fillId="4" borderId="14" xfId="0" applyFont="1" applyFill="1" applyBorder="1" applyAlignment="1" applyProtection="1">
      <alignment horizontal="center" vertical="center"/>
      <protection locked="0"/>
    </xf>
    <xf numFmtId="0" fontId="1" fillId="4" borderId="15" xfId="0" applyFont="1" applyFill="1" applyBorder="1" applyAlignment="1" applyProtection="1">
      <alignment horizontal="center" vertical="center"/>
      <protection locked="0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4" fillId="4" borderId="8" xfId="0" applyFont="1" applyFill="1" applyBorder="1" applyAlignment="1" applyProtection="1">
      <alignment horizontal="left" vertical="top"/>
      <protection locked="0"/>
    </xf>
    <xf numFmtId="0" fontId="1" fillId="4" borderId="11" xfId="0" quotePrefix="1" applyFont="1" applyFill="1" applyBorder="1" applyAlignment="1" applyProtection="1">
      <alignment horizontal="center" vertical="center"/>
      <protection locked="0"/>
    </xf>
    <xf numFmtId="164" fontId="1" fillId="4" borderId="11" xfId="1" quotePrefix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</xf>
    <xf numFmtId="0" fontId="10" fillId="0" borderId="0" xfId="0" applyFont="1" applyProtection="1"/>
    <xf numFmtId="0" fontId="16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 wrapText="1"/>
    </xf>
    <xf numFmtId="3" fontId="15" fillId="0" borderId="0" xfId="0" applyNumberFormat="1" applyFont="1" applyAlignment="1" applyProtection="1">
      <alignment horizontal="right"/>
    </xf>
    <xf numFmtId="3" fontId="10" fillId="0" borderId="0" xfId="0" applyNumberFormat="1" applyFont="1" applyAlignment="1" applyProtection="1">
      <alignment horizontal="center"/>
    </xf>
    <xf numFmtId="0" fontId="0" fillId="0" borderId="0" xfId="0" applyAlignment="1" applyProtection="1">
      <alignment vertical="center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vertical="center" wrapText="1"/>
    </xf>
    <xf numFmtId="3" fontId="2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12" fillId="2" borderId="0" xfId="0" applyFont="1" applyFill="1" applyAlignment="1" applyProtection="1">
      <alignment vertical="center"/>
    </xf>
    <xf numFmtId="0" fontId="12" fillId="2" borderId="0" xfId="0" applyFont="1" applyFill="1" applyProtection="1"/>
    <xf numFmtId="3" fontId="12" fillId="2" borderId="0" xfId="0" applyNumberFormat="1" applyFont="1" applyFill="1" applyAlignment="1" applyProtection="1">
      <alignment horizontal="center" vertical="center"/>
    </xf>
    <xf numFmtId="0" fontId="17" fillId="2" borderId="0" xfId="0" applyFont="1" applyFill="1" applyAlignment="1" applyProtection="1">
      <alignment horizontal="left" vertical="center"/>
    </xf>
    <xf numFmtId="3" fontId="13" fillId="2" borderId="0" xfId="0" applyNumberFormat="1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16" xfId="0" applyBorder="1" applyAlignment="1" applyProtection="1">
      <alignment vertical="center" wrapText="1"/>
    </xf>
    <xf numFmtId="0" fontId="2" fillId="5" borderId="3" xfId="0" applyFont="1" applyFill="1" applyBorder="1" applyAlignment="1" applyProtection="1">
      <alignment horizontal="left" vertical="center" wrapText="1"/>
    </xf>
    <xf numFmtId="3" fontId="2" fillId="5" borderId="3" xfId="0" applyNumberFormat="1" applyFont="1" applyFill="1" applyBorder="1" applyAlignment="1" applyProtection="1">
      <alignment horizontal="center" vertical="center"/>
    </xf>
    <xf numFmtId="0" fontId="2" fillId="5" borderId="4" xfId="0" applyFont="1" applyFill="1" applyBorder="1" applyAlignment="1" applyProtection="1">
      <alignment vertical="center"/>
    </xf>
    <xf numFmtId="0" fontId="0" fillId="0" borderId="17" xfId="0" applyBorder="1" applyAlignment="1" applyProtection="1">
      <alignment horizontal="right" vertical="center"/>
    </xf>
    <xf numFmtId="0" fontId="2" fillId="5" borderId="0" xfId="0" applyFont="1" applyFill="1" applyBorder="1" applyAlignment="1" applyProtection="1">
      <alignment horizontal="left" vertical="center" wrapText="1"/>
    </xf>
    <xf numFmtId="3" fontId="2" fillId="5" borderId="0" xfId="0" applyNumberFormat="1" applyFont="1" applyFill="1" applyBorder="1" applyAlignment="1" applyProtection="1">
      <alignment horizontal="center" vertical="center"/>
    </xf>
    <xf numFmtId="0" fontId="2" fillId="5" borderId="6" xfId="0" applyFont="1" applyFill="1" applyBorder="1" applyAlignment="1" applyProtection="1">
      <alignment vertical="center"/>
    </xf>
    <xf numFmtId="0" fontId="0" fillId="0" borderId="17" xfId="0" applyBorder="1" applyAlignment="1" applyProtection="1">
      <alignment horizontal="right" vertical="center" wrapText="1"/>
    </xf>
    <xf numFmtId="0" fontId="0" fillId="0" borderId="17" xfId="0" applyBorder="1" applyAlignment="1" applyProtection="1">
      <alignment vertical="center" wrapText="1"/>
    </xf>
    <xf numFmtId="0" fontId="2" fillId="5" borderId="6" xfId="0" applyFont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 wrapText="1"/>
    </xf>
    <xf numFmtId="0" fontId="2" fillId="5" borderId="8" xfId="0" applyFont="1" applyFill="1" applyBorder="1" applyAlignment="1" applyProtection="1">
      <alignment horizontal="right" vertical="center" wrapText="1"/>
    </xf>
    <xf numFmtId="3" fontId="2" fillId="5" borderId="8" xfId="0" applyNumberFormat="1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vertical="center" wrapText="1"/>
    </xf>
    <xf numFmtId="0" fontId="3" fillId="0" borderId="10" xfId="0" applyFont="1" applyBorder="1" applyAlignment="1" applyProtection="1">
      <alignment horizontal="center" vertical="center" textRotation="90" wrapText="1"/>
    </xf>
    <xf numFmtId="0" fontId="0" fillId="0" borderId="11" xfId="0" applyFont="1" applyBorder="1" applyAlignment="1" applyProtection="1">
      <alignment vertical="center" wrapText="1"/>
    </xf>
    <xf numFmtId="3" fontId="10" fillId="0" borderId="1" xfId="0" applyNumberFormat="1" applyFont="1" applyBorder="1" applyAlignment="1" applyProtection="1">
      <alignment horizontal="center" vertical="center"/>
    </xf>
    <xf numFmtId="0" fontId="2" fillId="5" borderId="11" xfId="0" applyFont="1" applyFill="1" applyBorder="1" applyAlignment="1" applyProtection="1">
      <alignment horizontal="right" vertical="center" wrapText="1"/>
    </xf>
    <xf numFmtId="3" fontId="2" fillId="5" borderId="11" xfId="0" applyNumberFormat="1" applyFont="1" applyFill="1" applyBorder="1" applyAlignment="1" applyProtection="1">
      <alignment horizontal="center" vertical="center"/>
    </xf>
    <xf numFmtId="0" fontId="2" fillId="5" borderId="12" xfId="0" applyFont="1" applyFill="1" applyBorder="1" applyAlignment="1" applyProtection="1">
      <alignment vertical="center"/>
    </xf>
    <xf numFmtId="0" fontId="0" fillId="0" borderId="2" xfId="0" applyFont="1" applyBorder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5" borderId="3" xfId="0" applyFont="1" applyFill="1" applyBorder="1" applyAlignment="1" applyProtection="1">
      <alignment vertical="center" wrapText="1"/>
    </xf>
    <xf numFmtId="0" fontId="2" fillId="5" borderId="4" xfId="0" applyFont="1" applyFill="1" applyBorder="1" applyAlignment="1" applyProtection="1">
      <alignment vertical="center" wrapText="1"/>
    </xf>
    <xf numFmtId="0" fontId="6" fillId="0" borderId="5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center" wrapText="1"/>
    </xf>
    <xf numFmtId="0" fontId="0" fillId="0" borderId="22" xfId="0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3" fontId="13" fillId="2" borderId="0" xfId="0" applyNumberFormat="1" applyFont="1" applyFill="1" applyAlignment="1" applyProtection="1">
      <alignment horizontal="center" vertical="center"/>
    </xf>
    <xf numFmtId="0" fontId="13" fillId="2" borderId="0" xfId="0" applyFont="1" applyFill="1" applyAlignment="1" applyProtection="1">
      <alignment vertical="center"/>
    </xf>
    <xf numFmtId="0" fontId="0" fillId="0" borderId="16" xfId="0" applyFont="1" applyBorder="1" applyAlignment="1" applyProtection="1">
      <alignment vertical="center" wrapText="1"/>
    </xf>
    <xf numFmtId="0" fontId="0" fillId="0" borderId="17" xfId="0" applyFont="1" applyBorder="1" applyAlignment="1" applyProtection="1">
      <alignment vertical="center" wrapText="1"/>
    </xf>
    <xf numFmtId="0" fontId="0" fillId="0" borderId="10" xfId="0" applyBorder="1" applyAlignment="1" applyProtection="1">
      <alignment vertical="center"/>
    </xf>
    <xf numFmtId="0" fontId="2" fillId="5" borderId="12" xfId="0" applyFont="1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1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5" borderId="3" xfId="0" applyFont="1" applyFill="1" applyBorder="1" applyAlignment="1" applyProtection="1">
      <alignment horizontal="right" vertical="center" wrapText="1"/>
    </xf>
    <xf numFmtId="0" fontId="0" fillId="0" borderId="5" xfId="0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right" vertical="center" wrapText="1"/>
    </xf>
    <xf numFmtId="0" fontId="2" fillId="5" borderId="23" xfId="0" applyFont="1" applyFill="1" applyBorder="1" applyAlignment="1" applyProtection="1">
      <alignment horizontal="right" vertical="center" wrapText="1"/>
    </xf>
    <xf numFmtId="3" fontId="2" fillId="5" borderId="24" xfId="0" applyNumberFormat="1" applyFont="1" applyFill="1" applyBorder="1" applyAlignment="1" applyProtection="1">
      <alignment horizontal="center" vertical="center"/>
    </xf>
    <xf numFmtId="0" fontId="4" fillId="5" borderId="26" xfId="0" applyFont="1" applyFill="1" applyBorder="1" applyAlignment="1" applyProtection="1">
      <alignment horizontal="right" vertical="top" wrapText="1"/>
    </xf>
    <xf numFmtId="0" fontId="2" fillId="5" borderId="5" xfId="0" applyFont="1" applyFill="1" applyBorder="1" applyAlignment="1" applyProtection="1">
      <alignment horizontal="right" vertical="center" wrapText="1"/>
    </xf>
    <xf numFmtId="3" fontId="2" fillId="5" borderId="0" xfId="0" applyNumberFormat="1" applyFont="1" applyFill="1" applyBorder="1" applyAlignment="1" applyProtection="1">
      <alignment horizontal="center"/>
    </xf>
    <xf numFmtId="0" fontId="4" fillId="5" borderId="7" xfId="0" applyFont="1" applyFill="1" applyBorder="1" applyAlignment="1" applyProtection="1">
      <alignment horizontal="right" vertical="center" wrapText="1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1" fillId="4" borderId="3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Protection="1"/>
    <xf numFmtId="3" fontId="10" fillId="0" borderId="0" xfId="0" applyNumberFormat="1" applyFont="1" applyAlignment="1" applyProtection="1">
      <alignment horizontal="center" vertical="center"/>
    </xf>
    <xf numFmtId="0" fontId="1" fillId="0" borderId="0" xfId="0" applyFont="1" applyProtection="1"/>
    <xf numFmtId="3" fontId="0" fillId="0" borderId="0" xfId="0" applyNumberFormat="1" applyAlignment="1" applyProtection="1">
      <alignment horizontal="center" vertical="center"/>
    </xf>
    <xf numFmtId="0" fontId="12" fillId="3" borderId="0" xfId="0" applyFont="1" applyFill="1" applyAlignment="1" applyProtection="1">
      <alignment vertical="center"/>
    </xf>
    <xf numFmtId="0" fontId="12" fillId="3" borderId="0" xfId="0" applyFont="1" applyFill="1" applyProtection="1"/>
    <xf numFmtId="3" fontId="12" fillId="3" borderId="0" xfId="0" applyNumberFormat="1" applyFont="1" applyFill="1" applyAlignment="1" applyProtection="1">
      <alignment horizontal="center" vertical="center"/>
    </xf>
    <xf numFmtId="0" fontId="17" fillId="3" borderId="0" xfId="0" applyFont="1" applyFill="1" applyAlignment="1" applyProtection="1">
      <alignment horizontal="left" vertical="center"/>
    </xf>
    <xf numFmtId="3" fontId="13" fillId="3" borderId="0" xfId="0" applyNumberFormat="1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horizontal="left" vertical="center"/>
    </xf>
    <xf numFmtId="0" fontId="0" fillId="5" borderId="3" xfId="0" applyFill="1" applyBorder="1" applyAlignment="1" applyProtection="1">
      <alignment horizontal="left" vertical="center"/>
    </xf>
    <xf numFmtId="3" fontId="0" fillId="5" borderId="3" xfId="0" applyNumberFormat="1" applyFill="1" applyBorder="1" applyAlignment="1" applyProtection="1">
      <alignment horizontal="center" vertical="center"/>
    </xf>
    <xf numFmtId="0" fontId="0" fillId="5" borderId="4" xfId="0" applyFill="1" applyBorder="1" applyAlignment="1" applyProtection="1">
      <alignment vertical="center"/>
    </xf>
    <xf numFmtId="0" fontId="0" fillId="5" borderId="0" xfId="0" applyFill="1" applyBorder="1" applyAlignment="1" applyProtection="1">
      <alignment horizontal="left" vertical="center"/>
    </xf>
    <xf numFmtId="3" fontId="0" fillId="5" borderId="0" xfId="0" applyNumberFormat="1" applyFill="1" applyBorder="1" applyAlignment="1" applyProtection="1">
      <alignment horizontal="center" vertical="center"/>
    </xf>
    <xf numFmtId="0" fontId="0" fillId="5" borderId="6" xfId="0" applyFill="1" applyBorder="1" applyAlignment="1" applyProtection="1">
      <alignment vertical="center"/>
    </xf>
    <xf numFmtId="0" fontId="0" fillId="5" borderId="8" xfId="0" applyFill="1" applyBorder="1" applyAlignment="1" applyProtection="1">
      <alignment horizontal="right" vertical="center"/>
    </xf>
    <xf numFmtId="3" fontId="0" fillId="5" borderId="8" xfId="0" applyNumberFormat="1" applyFill="1" applyBorder="1" applyAlignment="1" applyProtection="1">
      <alignment horizontal="center" vertical="center"/>
    </xf>
    <xf numFmtId="0" fontId="0" fillId="5" borderId="9" xfId="0" applyFill="1" applyBorder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0" fillId="0" borderId="11" xfId="0" applyBorder="1" applyAlignment="1" applyProtection="1">
      <alignment vertical="center" wrapText="1"/>
    </xf>
    <xf numFmtId="0" fontId="0" fillId="5" borderId="11" xfId="0" applyFill="1" applyBorder="1" applyAlignment="1" applyProtection="1">
      <alignment horizontal="right" vertical="center"/>
    </xf>
    <xf numFmtId="3" fontId="0" fillId="5" borderId="11" xfId="0" applyNumberFormat="1" applyFill="1" applyBorder="1" applyAlignment="1" applyProtection="1">
      <alignment horizontal="center" vertical="center"/>
    </xf>
    <xf numFmtId="0" fontId="0" fillId="5" borderId="12" xfId="0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 wrapText="1"/>
    </xf>
    <xf numFmtId="0" fontId="0" fillId="5" borderId="12" xfId="0" applyFill="1" applyBorder="1" applyAlignment="1" applyProtection="1">
      <alignment vertical="center" wrapText="1"/>
    </xf>
    <xf numFmtId="3" fontId="13" fillId="3" borderId="0" xfId="0" applyNumberFormat="1" applyFont="1" applyFill="1" applyAlignment="1" applyProtection="1">
      <alignment horizontal="center" vertical="center"/>
    </xf>
    <xf numFmtId="0" fontId="13" fillId="3" borderId="0" xfId="0" applyFont="1" applyFill="1" applyAlignment="1" applyProtection="1">
      <alignment vertical="center"/>
    </xf>
    <xf numFmtId="0" fontId="0" fillId="5" borderId="11" xfId="0" applyFont="1" applyFill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vertical="center" textRotation="90" wrapText="1"/>
    </xf>
    <xf numFmtId="0" fontId="0" fillId="5" borderId="3" xfId="0" applyFill="1" applyBorder="1" applyAlignment="1" applyProtection="1">
      <alignment horizontal="right" vertical="center"/>
    </xf>
    <xf numFmtId="0" fontId="0" fillId="5" borderId="4" xfId="0" applyFill="1" applyBorder="1" applyAlignment="1" applyProtection="1">
      <alignment vertical="center" wrapText="1"/>
    </xf>
    <xf numFmtId="0" fontId="0" fillId="0" borderId="7" xfId="0" applyBorder="1" applyAlignment="1" applyProtection="1">
      <alignment vertical="center"/>
    </xf>
    <xf numFmtId="0" fontId="12" fillId="4" borderId="0" xfId="0" applyFont="1" applyFill="1" applyAlignment="1" applyProtection="1">
      <alignment vertical="center"/>
    </xf>
    <xf numFmtId="0" fontId="12" fillId="4" borderId="0" xfId="0" applyFont="1" applyFill="1" applyProtection="1"/>
    <xf numFmtId="3" fontId="12" fillId="4" borderId="0" xfId="0" applyNumberFormat="1" applyFont="1" applyFill="1" applyAlignment="1" applyProtection="1">
      <alignment horizontal="center" vertical="center"/>
    </xf>
    <xf numFmtId="0" fontId="17" fillId="4" borderId="0" xfId="0" applyFont="1" applyFill="1" applyAlignment="1" applyProtection="1">
      <alignment horizontal="left" vertical="center"/>
    </xf>
    <xf numFmtId="3" fontId="17" fillId="4" borderId="0" xfId="0" applyNumberFormat="1" applyFont="1" applyFill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8" xfId="0" applyFill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 wrapText="1"/>
    </xf>
    <xf numFmtId="0" fontId="0" fillId="5" borderId="3" xfId="0" applyFill="1" applyBorder="1" applyAlignment="1" applyProtection="1">
      <alignment horizontal="center" vertical="center"/>
    </xf>
    <xf numFmtId="3" fontId="17" fillId="4" borderId="0" xfId="0" applyNumberFormat="1" applyFont="1" applyFill="1" applyAlignment="1" applyProtection="1">
      <alignment horizontal="center" vertical="center"/>
    </xf>
    <xf numFmtId="0" fontId="17" fillId="4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0" fillId="0" borderId="11" xfId="0" applyFont="1" applyFill="1" applyBorder="1" applyAlignment="1" applyProtection="1">
      <alignment vertical="center" wrapText="1"/>
    </xf>
    <xf numFmtId="0" fontId="9" fillId="0" borderId="0" xfId="0" applyFont="1" applyAlignment="1" applyProtection="1">
      <alignment horizontal="right" vertical="top"/>
    </xf>
    <xf numFmtId="0" fontId="9" fillId="0" borderId="0" xfId="0" applyFont="1" applyFill="1" applyAlignment="1" applyProtection="1">
      <alignment horizontal="left" vertical="top"/>
    </xf>
    <xf numFmtId="3" fontId="10" fillId="0" borderId="19" xfId="0" applyNumberFormat="1" applyFont="1" applyBorder="1" applyAlignment="1" applyProtection="1">
      <alignment horizontal="center" vertical="center"/>
    </xf>
    <xf numFmtId="3" fontId="10" fillId="0" borderId="20" xfId="0" applyNumberFormat="1" applyFont="1" applyBorder="1" applyAlignment="1" applyProtection="1">
      <alignment horizontal="center" vertical="center"/>
    </xf>
    <xf numFmtId="3" fontId="10" fillId="0" borderId="21" xfId="0" applyNumberFormat="1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3" fillId="0" borderId="7" xfId="0" applyFont="1" applyBorder="1" applyAlignment="1" applyProtection="1">
      <alignment horizontal="center" vertical="center" textRotation="90" wrapText="1"/>
    </xf>
    <xf numFmtId="0" fontId="0" fillId="0" borderId="17" xfId="0" applyFont="1" applyBorder="1" applyAlignment="1" applyProtection="1">
      <alignment horizontal="left" vertical="center" wrapText="1"/>
    </xf>
    <xf numFmtId="0" fontId="0" fillId="0" borderId="18" xfId="0" applyFont="1" applyBorder="1" applyAlignment="1" applyProtection="1">
      <alignment horizontal="left" vertical="center" wrapText="1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center" vertical="center"/>
    </xf>
    <xf numFmtId="0" fontId="10" fillId="0" borderId="21" xfId="0" applyFont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left" vertical="center" wrapText="1"/>
    </xf>
    <xf numFmtId="0" fontId="0" fillId="0" borderId="18" xfId="0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2" fillId="5" borderId="25" xfId="0" applyFont="1" applyFill="1" applyBorder="1" applyAlignment="1" applyProtection="1">
      <alignment horizontal="left" vertical="center" wrapText="1"/>
    </xf>
    <xf numFmtId="0" fontId="2" fillId="5" borderId="28" xfId="0" applyFont="1" applyFill="1" applyBorder="1" applyAlignment="1" applyProtection="1">
      <alignment horizontal="left" vertical="center" wrapText="1"/>
    </xf>
    <xf numFmtId="0" fontId="2" fillId="5" borderId="6" xfId="0" applyFont="1" applyFill="1" applyBorder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>
      <alignment horizontal="left" vertical="center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left" vertical="center"/>
    </xf>
    <xf numFmtId="0" fontId="1" fillId="2" borderId="18" xfId="0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3" fontId="0" fillId="5" borderId="3" xfId="0" applyNumberFormat="1" applyFill="1" applyBorder="1" applyAlignment="1" applyProtection="1">
      <alignment horizontal="center" vertical="center"/>
    </xf>
    <xf numFmtId="3" fontId="0" fillId="5" borderId="0" xfId="0" applyNumberFormat="1" applyFill="1" applyBorder="1" applyAlignment="1" applyProtection="1">
      <alignment horizontal="center" vertical="center"/>
    </xf>
    <xf numFmtId="3" fontId="0" fillId="5" borderId="8" xfId="0" applyNumberFormat="1" applyFill="1" applyBorder="1" applyAlignment="1" applyProtection="1">
      <alignment horizontal="center" vertical="center"/>
    </xf>
    <xf numFmtId="0" fontId="0" fillId="5" borderId="4" xfId="0" applyFill="1" applyBorder="1" applyAlignment="1" applyProtection="1">
      <alignment horizontal="left" vertical="center"/>
    </xf>
    <xf numFmtId="0" fontId="0" fillId="5" borderId="6" xfId="0" applyFill="1" applyBorder="1" applyAlignment="1" applyProtection="1">
      <alignment horizontal="left" vertical="center"/>
    </xf>
    <xf numFmtId="0" fontId="0" fillId="5" borderId="9" xfId="0" applyFill="1" applyBorder="1" applyAlignment="1" applyProtection="1">
      <alignment horizontal="left" vertical="center"/>
    </xf>
    <xf numFmtId="0" fontId="0" fillId="5" borderId="3" xfId="0" applyFill="1" applyBorder="1" applyAlignment="1" applyProtection="1">
      <alignment horizontal="right" vertical="center"/>
    </xf>
    <xf numFmtId="0" fontId="0" fillId="5" borderId="0" xfId="0" applyFill="1" applyBorder="1" applyAlignment="1" applyProtection="1">
      <alignment horizontal="right" vertical="center"/>
    </xf>
    <xf numFmtId="0" fontId="0" fillId="5" borderId="8" xfId="0" applyFill="1" applyBorder="1" applyAlignment="1" applyProtection="1">
      <alignment horizontal="right" vertical="center"/>
    </xf>
    <xf numFmtId="0" fontId="0" fillId="5" borderId="4" xfId="0" applyFill="1" applyBorder="1" applyAlignment="1" applyProtection="1">
      <alignment horizontal="left" vertical="center" wrapText="1"/>
    </xf>
    <xf numFmtId="0" fontId="0" fillId="5" borderId="6" xfId="0" applyFill="1" applyBorder="1" applyAlignment="1" applyProtection="1">
      <alignment horizontal="left" vertical="center" wrapText="1"/>
    </xf>
    <xf numFmtId="0" fontId="0" fillId="5" borderId="9" xfId="0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center" vertical="center" textRotation="90" wrapText="1"/>
    </xf>
    <xf numFmtId="0" fontId="0" fillId="0" borderId="5" xfId="0" applyBorder="1" applyAlignment="1" applyProtection="1">
      <alignment horizontal="center" vertical="center" textRotation="90" wrapText="1"/>
    </xf>
    <xf numFmtId="0" fontId="0" fillId="0" borderId="7" xfId="0" applyBorder="1" applyAlignment="1" applyProtection="1">
      <alignment horizontal="center" vertical="center" textRotation="90" wrapText="1"/>
    </xf>
    <xf numFmtId="0" fontId="0" fillId="5" borderId="2" xfId="0" applyFill="1" applyBorder="1" applyAlignment="1" applyProtection="1">
      <alignment horizontal="right" vertical="center"/>
    </xf>
    <xf numFmtId="0" fontId="0" fillId="5" borderId="5" xfId="0" applyFill="1" applyBorder="1" applyAlignment="1" applyProtection="1">
      <alignment horizontal="right" vertical="center"/>
    </xf>
    <xf numFmtId="0" fontId="0" fillId="5" borderId="7" xfId="0" applyFill="1" applyBorder="1" applyAlignment="1" applyProtection="1">
      <alignment horizontal="right" vertical="center"/>
    </xf>
    <xf numFmtId="0" fontId="0" fillId="0" borderId="3" xfId="0" applyFont="1" applyFill="1" applyBorder="1" applyAlignment="1" applyProtection="1">
      <alignment horizontal="left" vertical="center" wrapText="1"/>
    </xf>
    <xf numFmtId="0" fontId="0" fillId="0" borderId="8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center" vertical="center"/>
      <protection locked="0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10" fillId="0" borderId="19" xfId="0" applyFont="1" applyFill="1" applyBorder="1" applyAlignment="1" applyProtection="1">
      <alignment horizontal="center" vertical="center"/>
    </xf>
    <xf numFmtId="0" fontId="10" fillId="0" borderId="21" xfId="0" applyFont="1" applyFill="1" applyBorder="1" applyAlignment="1" applyProtection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3D69B"/>
      <rgbColor rgb="00808080"/>
      <rgbColor rgb="009999FF"/>
      <rgbColor rgb="00FF3333"/>
      <rgbColor rgb="00FCD5B5"/>
      <rgbColor rgb="00CCFFFF"/>
      <rgbColor rgb="00660066"/>
      <rgbColor rgb="00FF8080"/>
      <rgbColor rgb="000066CC"/>
      <rgbColor rgb="00BEE4E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F2E5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79646"/>
      <rgbColor rgb="00FF6600"/>
      <rgbColor rgb="00595959"/>
      <rgbColor rgb="00969696"/>
      <rgbColor rgb="00003366"/>
      <rgbColor rgb="00339966"/>
      <rgbColor rgb="00003300"/>
      <rgbColor rgb="00333300"/>
      <rgbColor rgb="00CC3300"/>
      <rgbColor rgb="00993366"/>
      <rgbColor rgb="003333FF"/>
      <rgbColor rgb="00333333"/>
    </indexed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I54"/>
  <sheetViews>
    <sheetView showGridLines="0" tabSelected="1" topLeftCell="B1" zoomScaleNormal="100" workbookViewId="0">
      <selection activeCell="F5" sqref="F5"/>
    </sheetView>
  </sheetViews>
  <sheetFormatPr baseColWidth="10" defaultRowHeight="15"/>
  <cols>
    <col min="1" max="1" width="3.7109375" style="36" customWidth="1"/>
    <col min="2" max="2" width="20.7109375" style="37" customWidth="1"/>
    <col min="3" max="3" width="11.7109375" style="36" customWidth="1"/>
    <col min="4" max="4" width="41.7109375" style="36" customWidth="1"/>
    <col min="5" max="5" width="13.7109375" style="49" customWidth="1"/>
    <col min="6" max="6" width="11.7109375" style="38" customWidth="1"/>
    <col min="7" max="7" width="33" style="39" customWidth="1"/>
    <col min="8" max="8" width="6.7109375" style="40" customWidth="1"/>
    <col min="9" max="9" width="74.42578125" style="41" customWidth="1"/>
    <col min="10" max="16384" width="11.42578125" style="36"/>
  </cols>
  <sheetData>
    <row r="1" spans="1:9" s="29" customFormat="1" ht="26.25">
      <c r="A1" s="29" t="s">
        <v>80</v>
      </c>
      <c r="B1" s="30"/>
      <c r="E1" s="31"/>
      <c r="F1" s="32"/>
      <c r="G1" s="33"/>
      <c r="H1" s="34"/>
      <c r="I1" s="35" t="str">
        <f>SUM(F7,F25,F42)&amp;" points"</f>
        <v>4227,5 points</v>
      </c>
    </row>
    <row r="3" spans="1:9">
      <c r="C3" s="36" t="s">
        <v>121</v>
      </c>
      <c r="E3" s="1">
        <v>3000</v>
      </c>
    </row>
    <row r="4" spans="1:9">
      <c r="C4" s="36" t="s">
        <v>131</v>
      </c>
      <c r="E4" s="1"/>
    </row>
    <row r="5" spans="1:9">
      <c r="C5" s="36" t="s">
        <v>132</v>
      </c>
      <c r="E5" s="1"/>
    </row>
    <row r="7" spans="1:9" s="48" customFormat="1" ht="18.75">
      <c r="A7" s="42" t="s">
        <v>3</v>
      </c>
      <c r="B7" s="43"/>
      <c r="C7" s="42"/>
      <c r="D7" s="42"/>
      <c r="E7" s="42"/>
      <c r="F7" s="44">
        <f>IF(AND(SUM(F9:F23)&lt;&gt;0,OR($H$13="-",$E$15&lt;&gt;"oui",$E$16="non",$E$19&lt;1,$E$21="non")),"-",SUM(F9:F23))</f>
        <v>1900</v>
      </c>
      <c r="G7" s="45" t="str">
        <f>IF(OR(F7="-",F7=0),"L'ENSEMBLE DES INDICATEURS SOCLE CONSTITUENT LE PREREQUIS A TOUTE REMUNERATION","")</f>
        <v/>
      </c>
      <c r="H7" s="46"/>
      <c r="I7" s="47"/>
    </row>
    <row r="8" spans="1:9" ht="15.75" thickBot="1">
      <c r="B8" s="49" t="s">
        <v>17</v>
      </c>
    </row>
    <row r="9" spans="1:9" ht="30">
      <c r="C9" s="154" t="s">
        <v>127</v>
      </c>
      <c r="D9" s="50" t="s">
        <v>126</v>
      </c>
      <c r="E9" s="2" t="s">
        <v>133</v>
      </c>
      <c r="F9" s="151">
        <f>H13</f>
        <v>1050</v>
      </c>
      <c r="G9" s="51" t="s">
        <v>10</v>
      </c>
      <c r="H9" s="52">
        <v>1200</v>
      </c>
      <c r="I9" s="53" t="s">
        <v>98</v>
      </c>
    </row>
    <row r="10" spans="1:9">
      <c r="C10" s="155"/>
      <c r="D10" s="54" t="s">
        <v>85</v>
      </c>
      <c r="E10" s="4" t="s">
        <v>134</v>
      </c>
      <c r="F10" s="152"/>
      <c r="G10" s="55" t="s">
        <v>7</v>
      </c>
      <c r="H10" s="56">
        <f>IF($E$9="Moins de 12 h (et + de 10)",-60,IF($E$9="Moins de 10 h (et + de 8)",-150,"-"))</f>
        <v>-150</v>
      </c>
      <c r="I10" s="57" t="s">
        <v>16</v>
      </c>
    </row>
    <row r="11" spans="1:9" ht="45">
      <c r="C11" s="155"/>
      <c r="D11" s="58" t="s">
        <v>129</v>
      </c>
      <c r="E11" s="4">
        <v>0</v>
      </c>
      <c r="F11" s="152"/>
      <c r="G11" s="55" t="s">
        <v>9</v>
      </c>
      <c r="H11" s="56" t="str">
        <f>IF($E$10="non",-120,"-")</f>
        <v>-</v>
      </c>
      <c r="I11" s="57" t="s">
        <v>11</v>
      </c>
    </row>
    <row r="12" spans="1:9" ht="30">
      <c r="C12" s="155"/>
      <c r="D12" s="59" t="s">
        <v>4</v>
      </c>
      <c r="E12" s="4" t="s">
        <v>134</v>
      </c>
      <c r="F12" s="152"/>
      <c r="G12" s="55" t="s">
        <v>8</v>
      </c>
      <c r="H12" s="56" t="str">
        <f>IF($E$11&gt;=3,- 90,IF($E$11&gt;0,-30*$E$11,"-"))</f>
        <v>-</v>
      </c>
      <c r="I12" s="60" t="s">
        <v>12</v>
      </c>
    </row>
    <row r="13" spans="1:9" ht="30.75" thickBot="1">
      <c r="C13" s="156"/>
      <c r="D13" s="61" t="s">
        <v>5</v>
      </c>
      <c r="E13" s="5" t="s">
        <v>134</v>
      </c>
      <c r="F13" s="153"/>
      <c r="G13" s="62" t="s">
        <v>15</v>
      </c>
      <c r="H13" s="63">
        <f>IF(AND(E9&lt;&gt;"Moins de 8 h",E9&lt;&gt;"-",E12="oui",E13="oui"),SUM(H9:H12),"-")</f>
        <v>1050</v>
      </c>
      <c r="I13" s="64"/>
    </row>
    <row r="14" spans="1:9" ht="15.75" thickBot="1">
      <c r="B14" s="49" t="s">
        <v>13</v>
      </c>
    </row>
    <row r="15" spans="1:9" ht="45" customHeight="1">
      <c r="C15" s="154" t="s">
        <v>14</v>
      </c>
      <c r="D15" s="50" t="s">
        <v>124</v>
      </c>
      <c r="E15" s="3" t="s">
        <v>134</v>
      </c>
      <c r="F15" s="151">
        <f>H18</f>
        <v>750</v>
      </c>
      <c r="G15" s="51" t="s">
        <v>19</v>
      </c>
      <c r="H15" s="52">
        <f>$E$3*0.25</f>
        <v>750</v>
      </c>
      <c r="I15" s="53" t="s">
        <v>18</v>
      </c>
    </row>
    <row r="16" spans="1:9" ht="60">
      <c r="C16" s="155"/>
      <c r="D16" s="59" t="s">
        <v>20</v>
      </c>
      <c r="E16" s="4" t="s">
        <v>6</v>
      </c>
      <c r="F16" s="152"/>
      <c r="G16" s="55" t="s">
        <v>23</v>
      </c>
      <c r="H16" s="56" t="str">
        <f>IF($E$16="non",-250,IF($E$16="oui",-150,"-"))</f>
        <v>-</v>
      </c>
      <c r="I16" s="60" t="s">
        <v>24</v>
      </c>
    </row>
    <row r="17" spans="1:9" ht="30">
      <c r="C17" s="155"/>
      <c r="D17" s="165" t="s">
        <v>125</v>
      </c>
      <c r="E17" s="159"/>
      <c r="F17" s="152"/>
      <c r="G17" s="65" t="s">
        <v>34</v>
      </c>
      <c r="H17" s="56" t="str">
        <f>IF($E$17="oui",200,"-")</f>
        <v>-</v>
      </c>
      <c r="I17" s="60" t="s">
        <v>22</v>
      </c>
    </row>
    <row r="18" spans="1:9" ht="15.75" thickBot="1">
      <c r="C18" s="156"/>
      <c r="D18" s="166"/>
      <c r="E18" s="160"/>
      <c r="F18" s="153"/>
      <c r="G18" s="62" t="s">
        <v>15</v>
      </c>
      <c r="H18" s="63">
        <f>IF($E$15="oui",SUM($H$15:$H$17),"-")</f>
        <v>750</v>
      </c>
      <c r="I18" s="64"/>
    </row>
    <row r="19" spans="1:9" ht="53.25" customHeight="1" thickBot="1">
      <c r="C19" s="66" t="s">
        <v>21</v>
      </c>
      <c r="D19" s="67" t="s">
        <v>26</v>
      </c>
      <c r="E19" s="6">
        <v>1</v>
      </c>
      <c r="F19" s="68">
        <f>H19</f>
        <v>100</v>
      </c>
      <c r="G19" s="69" t="s">
        <v>15</v>
      </c>
      <c r="H19" s="70">
        <f>IF($E$19&gt;=5,500,IF($E$19&gt;0,$E$19*100,"-"))</f>
        <v>100</v>
      </c>
      <c r="I19" s="71" t="s">
        <v>25</v>
      </c>
    </row>
    <row r="20" spans="1:9" ht="15" customHeight="1" thickBot="1">
      <c r="B20" s="49" t="s">
        <v>33</v>
      </c>
    </row>
    <row r="21" spans="1:9" ht="45">
      <c r="C21" s="72" t="s">
        <v>27</v>
      </c>
      <c r="D21" s="73" t="s">
        <v>29</v>
      </c>
      <c r="E21" s="163" t="s">
        <v>6</v>
      </c>
      <c r="F21" s="151" t="str">
        <f>H23</f>
        <v>-</v>
      </c>
      <c r="G21" s="74" t="s">
        <v>19</v>
      </c>
      <c r="H21" s="52">
        <f>850+$E$3*1500/4000</f>
        <v>1975</v>
      </c>
      <c r="I21" s="75" t="s">
        <v>79</v>
      </c>
    </row>
    <row r="22" spans="1:9" ht="90">
      <c r="C22" s="76" t="s">
        <v>28</v>
      </c>
      <c r="D22" s="77" t="s">
        <v>31</v>
      </c>
      <c r="E22" s="164"/>
      <c r="F22" s="161"/>
      <c r="G22" s="65" t="s">
        <v>128</v>
      </c>
      <c r="H22" s="56" t="str">
        <f>IF($E$23="oui",$E$4*450/2600,"-")</f>
        <v>-</v>
      </c>
      <c r="I22" s="60" t="s">
        <v>78</v>
      </c>
    </row>
    <row r="23" spans="1:9" ht="15.75" thickBot="1">
      <c r="C23" s="78"/>
      <c r="D23" s="79" t="s">
        <v>30</v>
      </c>
      <c r="E23" s="5" t="s">
        <v>6</v>
      </c>
      <c r="F23" s="162"/>
      <c r="G23" s="62" t="s">
        <v>15</v>
      </c>
      <c r="H23" s="63" t="str">
        <f>IF($E$21="oui",SUM($H$21:$H$22),"-")</f>
        <v>-</v>
      </c>
      <c r="I23" s="64"/>
    </row>
    <row r="25" spans="1:9" s="48" customFormat="1" ht="18.75">
      <c r="A25" s="42" t="s">
        <v>32</v>
      </c>
      <c r="B25" s="43"/>
      <c r="C25" s="42"/>
      <c r="D25" s="42"/>
      <c r="E25" s="42"/>
      <c r="F25" s="44">
        <f>IF(AND(SUM(F27:F40)&lt;&gt;0,OR($F$7=0,$F$7="-")),"-",SUM(F27:F40))</f>
        <v>1500</v>
      </c>
      <c r="G25" s="45" t="str">
        <f>IF(F25="-","(Bloc non pris en compte car les obligations socle doivent être préalablement satisfaites)","")</f>
        <v/>
      </c>
      <c r="H25" s="80"/>
      <c r="I25" s="81"/>
    </row>
    <row r="26" spans="1:9" ht="15.75" thickBot="1">
      <c r="B26" s="49" t="s">
        <v>17</v>
      </c>
    </row>
    <row r="27" spans="1:9" ht="30" customHeight="1">
      <c r="C27" s="154" t="s">
        <v>2</v>
      </c>
      <c r="D27" s="82" t="s">
        <v>37</v>
      </c>
      <c r="E27" s="3"/>
      <c r="F27" s="151">
        <f>H30</f>
        <v>0</v>
      </c>
      <c r="G27" s="74" t="s">
        <v>38</v>
      </c>
      <c r="H27" s="52" t="str">
        <f>IF($E$27&gt;=2,2*$E$3*350/4000,IF($E$27&gt;0,$E$27*$E$3*350/4000,"-"))</f>
        <v>-</v>
      </c>
      <c r="I27" s="75" t="s">
        <v>36</v>
      </c>
    </row>
    <row r="28" spans="1:9" ht="60">
      <c r="C28" s="155"/>
      <c r="D28" s="83" t="s">
        <v>42</v>
      </c>
      <c r="E28" s="4" t="s">
        <v>6</v>
      </c>
      <c r="F28" s="161"/>
      <c r="G28" s="65" t="s">
        <v>47</v>
      </c>
      <c r="H28" s="56" t="str">
        <f>IF($E$28="oui",$E$5*200/450,"-")</f>
        <v>-</v>
      </c>
      <c r="I28" s="60" t="s">
        <v>40</v>
      </c>
    </row>
    <row r="29" spans="1:9" ht="44.25" customHeight="1">
      <c r="C29" s="155"/>
      <c r="D29" s="157" t="s">
        <v>43</v>
      </c>
      <c r="E29" s="159" t="s">
        <v>6</v>
      </c>
      <c r="F29" s="161"/>
      <c r="G29" s="65" t="s">
        <v>48</v>
      </c>
      <c r="H29" s="56" t="str">
        <f>IF($E$29="oui",$E$4*200/2600,"-")</f>
        <v>-</v>
      </c>
      <c r="I29" s="60" t="s">
        <v>41</v>
      </c>
    </row>
    <row r="30" spans="1:9" ht="15.75" thickBot="1">
      <c r="C30" s="156"/>
      <c r="D30" s="158"/>
      <c r="E30" s="160"/>
      <c r="F30" s="162"/>
      <c r="G30" s="62" t="s">
        <v>15</v>
      </c>
      <c r="H30" s="63">
        <f>SUM($H$27:$H$29)</f>
        <v>0</v>
      </c>
      <c r="I30" s="64"/>
    </row>
    <row r="31" spans="1:9" ht="15.75" thickBot="1">
      <c r="B31" s="49" t="s">
        <v>13</v>
      </c>
    </row>
    <row r="32" spans="1:9" ht="30" customHeight="1">
      <c r="C32" s="154" t="s">
        <v>51</v>
      </c>
      <c r="D32" s="82" t="s">
        <v>130</v>
      </c>
      <c r="E32" s="3">
        <v>2</v>
      </c>
      <c r="F32" s="151">
        <f>H35</f>
        <v>1350</v>
      </c>
      <c r="G32" s="74" t="s">
        <v>46</v>
      </c>
      <c r="H32" s="52">
        <f>IF($E$32&gt;=2,2*450,$E$32*450)</f>
        <v>900</v>
      </c>
      <c r="I32" s="75" t="s">
        <v>39</v>
      </c>
    </row>
    <row r="33" spans="1:9" ht="45">
      <c r="C33" s="155"/>
      <c r="D33" s="83" t="s">
        <v>44</v>
      </c>
      <c r="E33" s="4" t="s">
        <v>134</v>
      </c>
      <c r="F33" s="161"/>
      <c r="G33" s="65" t="s">
        <v>49</v>
      </c>
      <c r="H33" s="56">
        <f>IF($E$33="oui",225,"-")</f>
        <v>225</v>
      </c>
      <c r="I33" s="60" t="s">
        <v>61</v>
      </c>
    </row>
    <row r="34" spans="1:9" ht="45" customHeight="1">
      <c r="C34" s="155"/>
      <c r="D34" s="157" t="s">
        <v>45</v>
      </c>
      <c r="E34" s="159" t="s">
        <v>134</v>
      </c>
      <c r="F34" s="161"/>
      <c r="G34" s="65" t="s">
        <v>50</v>
      </c>
      <c r="H34" s="56">
        <f>IF($E$34="oui",225,"-")</f>
        <v>225</v>
      </c>
      <c r="I34" s="60" t="s">
        <v>62</v>
      </c>
    </row>
    <row r="35" spans="1:9" ht="15.75" thickBot="1">
      <c r="C35" s="156"/>
      <c r="D35" s="158"/>
      <c r="E35" s="160"/>
      <c r="F35" s="162"/>
      <c r="G35" s="62" t="s">
        <v>15</v>
      </c>
      <c r="H35" s="63">
        <f>SUM($H$32:$H$34)</f>
        <v>1350</v>
      </c>
      <c r="I35" s="64"/>
    </row>
    <row r="36" spans="1:9" ht="30" customHeight="1">
      <c r="C36" s="154" t="s">
        <v>0</v>
      </c>
      <c r="D36" s="82" t="s">
        <v>52</v>
      </c>
      <c r="E36" s="3" t="s">
        <v>134</v>
      </c>
      <c r="F36" s="151">
        <f>H38</f>
        <v>150</v>
      </c>
      <c r="G36" s="74" t="s">
        <v>19</v>
      </c>
      <c r="H36" s="52">
        <f>IF($E$36="oui",$E$3*200/4000,"-")</f>
        <v>150</v>
      </c>
      <c r="I36" s="75" t="s">
        <v>53</v>
      </c>
    </row>
    <row r="37" spans="1:9" ht="60" customHeight="1">
      <c r="C37" s="155"/>
      <c r="D37" s="157" t="s">
        <v>54</v>
      </c>
      <c r="E37" s="159" t="s">
        <v>6</v>
      </c>
      <c r="F37" s="161"/>
      <c r="G37" s="65" t="s">
        <v>55</v>
      </c>
      <c r="H37" s="56" t="str">
        <f>IF($E$37="oui",200,"-")</f>
        <v>-</v>
      </c>
      <c r="I37" s="57" t="s">
        <v>63</v>
      </c>
    </row>
    <row r="38" spans="1:9" ht="15.75" thickBot="1">
      <c r="C38" s="156"/>
      <c r="D38" s="158"/>
      <c r="E38" s="160"/>
      <c r="F38" s="162"/>
      <c r="G38" s="62" t="s">
        <v>15</v>
      </c>
      <c r="H38" s="63">
        <f>SUM($H$36:$H$37)</f>
        <v>150</v>
      </c>
      <c r="I38" s="64"/>
    </row>
    <row r="39" spans="1:9" ht="15.75" thickBot="1">
      <c r="B39" s="49" t="s">
        <v>33</v>
      </c>
    </row>
    <row r="40" spans="1:9" ht="30.75" thickBot="1">
      <c r="C40" s="84"/>
      <c r="D40" s="67" t="s">
        <v>56</v>
      </c>
      <c r="E40" s="6" t="s">
        <v>6</v>
      </c>
      <c r="F40" s="68" t="str">
        <f>H40</f>
        <v>-</v>
      </c>
      <c r="G40" s="69" t="s">
        <v>15</v>
      </c>
      <c r="H40" s="70" t="str">
        <f>IF($E$40="oui",100,"-")</f>
        <v>-</v>
      </c>
      <c r="I40" s="85" t="s">
        <v>64</v>
      </c>
    </row>
    <row r="41" spans="1:9">
      <c r="F41" s="86"/>
    </row>
    <row r="42" spans="1:9" s="48" customFormat="1" ht="18.75">
      <c r="A42" s="42" t="s">
        <v>57</v>
      </c>
      <c r="B42" s="43"/>
      <c r="C42" s="42"/>
      <c r="D42" s="42"/>
      <c r="E42" s="42"/>
      <c r="F42" s="44">
        <f>IF(AND(SUM(F44:F54)&lt;&gt;0,OR($F$7=0,$F$7="-")),"-",SUM(F44:F54))</f>
        <v>827.5</v>
      </c>
      <c r="G42" s="45" t="str">
        <f>IF(F42="-","(Bloc non pris en compte car les obligations socle doivent être préalablement satisfaites)","")</f>
        <v/>
      </c>
      <c r="H42" s="80"/>
      <c r="I42" s="81"/>
    </row>
    <row r="43" spans="1:9" ht="15.75" thickBot="1">
      <c r="B43" s="49" t="s">
        <v>17</v>
      </c>
    </row>
    <row r="44" spans="1:9" ht="90" customHeight="1" thickBot="1">
      <c r="C44" s="66" t="s">
        <v>58</v>
      </c>
      <c r="D44" s="67" t="s">
        <v>59</v>
      </c>
      <c r="E44" s="7">
        <v>0.05</v>
      </c>
      <c r="F44" s="68">
        <f>H44</f>
        <v>200</v>
      </c>
      <c r="G44" s="69" t="s">
        <v>15</v>
      </c>
      <c r="H44" s="70">
        <f>IF($E$44&gt;0.02,200,IF($E$44&gt;0,100,"-"))</f>
        <v>200</v>
      </c>
      <c r="I44" s="71" t="s">
        <v>60</v>
      </c>
    </row>
    <row r="45" spans="1:9" ht="63" customHeight="1" thickBot="1">
      <c r="C45" s="66" t="s">
        <v>1</v>
      </c>
      <c r="D45" s="87" t="s">
        <v>93</v>
      </c>
      <c r="E45" s="6" t="s">
        <v>6</v>
      </c>
      <c r="F45" s="68" t="str">
        <f>H45</f>
        <v>-</v>
      </c>
      <c r="G45" s="69" t="s">
        <v>15</v>
      </c>
      <c r="H45" s="70" t="str">
        <f>IF($E$45="oui",50,"-")</f>
        <v>-</v>
      </c>
      <c r="I45" s="71" t="s">
        <v>65</v>
      </c>
    </row>
    <row r="46" spans="1:9" ht="15.75" thickBot="1">
      <c r="B46" s="49" t="s">
        <v>13</v>
      </c>
    </row>
    <row r="47" spans="1:9" ht="60.75" customHeight="1" thickBot="1">
      <c r="C47" s="66" t="s">
        <v>66</v>
      </c>
      <c r="D47" s="67" t="s">
        <v>67</v>
      </c>
      <c r="E47" s="6" t="s">
        <v>6</v>
      </c>
      <c r="F47" s="68" t="str">
        <f>H47</f>
        <v>-</v>
      </c>
      <c r="G47" s="69" t="s">
        <v>15</v>
      </c>
      <c r="H47" s="70" t="str">
        <f>IF(AND($E$47&gt;=1,$E$47&lt;=4),100+($E$47-1)*150,"-")</f>
        <v>-</v>
      </c>
      <c r="I47" s="71" t="s">
        <v>68</v>
      </c>
    </row>
    <row r="48" spans="1:9" ht="15.75" thickBot="1">
      <c r="B48" s="49" t="s">
        <v>33</v>
      </c>
    </row>
    <row r="49" spans="3:9" ht="30">
      <c r="C49" s="88"/>
      <c r="D49" s="82" t="s">
        <v>69</v>
      </c>
      <c r="E49" s="8" t="s">
        <v>134</v>
      </c>
      <c r="F49" s="151">
        <f>SUM(H49,H50,H51,H53)</f>
        <v>627.5</v>
      </c>
      <c r="G49" s="89" t="s">
        <v>15</v>
      </c>
      <c r="H49" s="52">
        <f>IF($E$49="oui",$E$3*150/4000,"-")</f>
        <v>112.5</v>
      </c>
      <c r="I49" s="75" t="s">
        <v>70</v>
      </c>
    </row>
    <row r="50" spans="3:9">
      <c r="C50" s="90"/>
      <c r="D50" s="91" t="s">
        <v>117</v>
      </c>
      <c r="E50" s="9" t="s">
        <v>134</v>
      </c>
      <c r="F50" s="161"/>
      <c r="G50" s="92" t="s">
        <v>15</v>
      </c>
      <c r="H50" s="56">
        <f>IF($E$50="oui",75,"-")</f>
        <v>75</v>
      </c>
      <c r="I50" s="57" t="s">
        <v>71</v>
      </c>
    </row>
    <row r="51" spans="3:9" ht="30" customHeight="1">
      <c r="C51" s="167"/>
      <c r="D51" s="173" t="s">
        <v>73</v>
      </c>
      <c r="E51" s="174" t="s">
        <v>134</v>
      </c>
      <c r="F51" s="161"/>
      <c r="G51" s="93" t="s">
        <v>15</v>
      </c>
      <c r="H51" s="94">
        <f>IF($E$51="oui",$H$52*440/11,"-")</f>
        <v>440</v>
      </c>
      <c r="I51" s="169" t="s">
        <v>74</v>
      </c>
    </row>
    <row r="52" spans="3:9">
      <c r="C52" s="167"/>
      <c r="D52" s="173"/>
      <c r="E52" s="174"/>
      <c r="F52" s="161"/>
      <c r="G52" s="95" t="s">
        <v>76</v>
      </c>
      <c r="H52" s="10">
        <v>11</v>
      </c>
      <c r="I52" s="170"/>
    </row>
    <row r="53" spans="3:9">
      <c r="C53" s="167"/>
      <c r="D53" s="173" t="s">
        <v>72</v>
      </c>
      <c r="E53" s="174" t="s">
        <v>6</v>
      </c>
      <c r="F53" s="161"/>
      <c r="G53" s="96" t="s">
        <v>15</v>
      </c>
      <c r="H53" s="97" t="str">
        <f>IF($E$53="oui",$H$54*46/3.3,"-")</f>
        <v>-</v>
      </c>
      <c r="I53" s="171" t="s">
        <v>75</v>
      </c>
    </row>
    <row r="54" spans="3:9" ht="15.75" thickBot="1">
      <c r="C54" s="168"/>
      <c r="D54" s="175"/>
      <c r="E54" s="176"/>
      <c r="F54" s="162"/>
      <c r="G54" s="98" t="s">
        <v>77</v>
      </c>
      <c r="H54" s="11">
        <v>3.3</v>
      </c>
      <c r="I54" s="172"/>
    </row>
  </sheetData>
  <sheetProtection password="9BFD" sheet="1" objects="1" scenarios="1" formatCells="0" formatColumns="0" formatRows="0"/>
  <mergeCells count="29">
    <mergeCell ref="I51:I52"/>
    <mergeCell ref="I53:I54"/>
    <mergeCell ref="D51:D52"/>
    <mergeCell ref="E51:E52"/>
    <mergeCell ref="D53:D54"/>
    <mergeCell ref="E53:E54"/>
    <mergeCell ref="F49:F54"/>
    <mergeCell ref="F36:F38"/>
    <mergeCell ref="F32:F35"/>
    <mergeCell ref="C32:C35"/>
    <mergeCell ref="D34:D35"/>
    <mergeCell ref="E34:E35"/>
    <mergeCell ref="C51:C52"/>
    <mergeCell ref="C53:C54"/>
    <mergeCell ref="C36:C38"/>
    <mergeCell ref="D37:D38"/>
    <mergeCell ref="E37:E38"/>
    <mergeCell ref="F9:F13"/>
    <mergeCell ref="F15:F18"/>
    <mergeCell ref="C27:C30"/>
    <mergeCell ref="D29:D30"/>
    <mergeCell ref="E29:E30"/>
    <mergeCell ref="F21:F23"/>
    <mergeCell ref="E21:E22"/>
    <mergeCell ref="C9:C13"/>
    <mergeCell ref="C15:C18"/>
    <mergeCell ref="D17:D18"/>
    <mergeCell ref="E17:E18"/>
    <mergeCell ref="F27:F30"/>
  </mergeCells>
  <dataValidations xWindow="619" yWindow="442" count="7">
    <dataValidation type="list" allowBlank="1" showInputMessage="1" showErrorMessage="1" prompt="Nombre à indiquer" sqref="E47">
      <formula1>"-,1,2,3,4"</formula1>
    </dataValidation>
    <dataValidation type="list" allowBlank="1" showInputMessage="1" showErrorMessage="1" prompt="Utilisez la liste" sqref="E9">
      <formula1>"-,Moins de 8 h,Moins de 10 h (et + de 8),Moins de 12 h (et + de 10),12 h et +"</formula1>
    </dataValidation>
    <dataValidation type="list" allowBlank="1" showInputMessage="1" showErrorMessage="1" prompt="oui / non" sqref="E10 E12:E13 E15 E21:E23 E49:E54 E45 E40 E36">
      <formula1>"-,oui,non"</formula1>
    </dataValidation>
    <dataValidation allowBlank="1" showInputMessage="1" showErrorMessage="1" prompt="Nombre à indiquer" sqref="E11 E19"/>
    <dataValidation type="list" allowBlank="1" showInputMessage="1" showErrorMessage="1" promptTitle="Si centre concerné :" prompt="oui / non" sqref="E16:E18 E28:E30 E33:E35 E37:E38">
      <formula1>"-,oui,non"</formula1>
    </dataValidation>
    <dataValidation allowBlank="1" showInputMessage="1" showErrorMessage="1" prompt="Nombre à indiquer (de 0 à 2)" sqref="E27 E32"/>
    <dataValidation allowBlank="1" showInputMessage="1" showErrorMessage="1" prompt="Pourcentage à indiquer" sqref="E44"/>
  </dataValidations>
  <pageMargins left="0.23622047244094491" right="0.23622047244094491" top="0.31496062992125984" bottom="0.51181102362204722" header="0.31496062992125984" footer="0.31496062992125984"/>
  <pageSetup paperSize="9" scale="65" fitToHeight="5" orientation="landscape" r:id="rId1"/>
  <headerFooter>
    <oddFooter>&amp;L&amp;8Cpam de l'Essonne
Document non contractuel&amp;C&amp;8imp. du &amp;D&amp;R&amp;8CDS médical ou polyvalent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2"/>
  <sheetViews>
    <sheetView showGridLines="0" zoomScaleNormal="100" workbookViewId="0"/>
  </sheetViews>
  <sheetFormatPr baseColWidth="10" defaultRowHeight="15"/>
  <cols>
    <col min="1" max="1" width="3.7109375" style="36" customWidth="1"/>
    <col min="2" max="2" width="20.7109375" style="103" customWidth="1"/>
    <col min="3" max="3" width="11.7109375" style="36" customWidth="1"/>
    <col min="4" max="4" width="41.7109375" style="36" customWidth="1"/>
    <col min="5" max="5" width="13.7109375" style="49" customWidth="1"/>
    <col min="6" max="6" width="11.7109375" style="38" customWidth="1"/>
    <col min="7" max="7" width="33" style="36" customWidth="1"/>
    <col min="8" max="8" width="6.7109375" style="104" customWidth="1"/>
    <col min="9" max="9" width="74.42578125" style="36" customWidth="1"/>
    <col min="10" max="16384" width="11.42578125" style="36"/>
  </cols>
  <sheetData>
    <row r="1" spans="1:9" s="29" customFormat="1" ht="26.25">
      <c r="A1" s="29" t="s">
        <v>81</v>
      </c>
      <c r="B1" s="101"/>
      <c r="E1" s="31"/>
      <c r="F1" s="32"/>
      <c r="H1" s="102"/>
      <c r="I1" s="35" t="str">
        <f>SUM(F5,F17,F24)&amp;" points"</f>
        <v>0 points</v>
      </c>
    </row>
    <row r="3" spans="1:9">
      <c r="C3" s="36" t="s">
        <v>122</v>
      </c>
      <c r="E3" s="12">
        <v>2600</v>
      </c>
    </row>
    <row r="4" spans="1:9">
      <c r="F4" s="104"/>
    </row>
    <row r="5" spans="1:9" s="48" customFormat="1" ht="18.75">
      <c r="A5" s="105" t="s">
        <v>3</v>
      </c>
      <c r="B5" s="106"/>
      <c r="C5" s="105"/>
      <c r="D5" s="105"/>
      <c r="E5" s="105"/>
      <c r="F5" s="107">
        <f>IF(AND(SUM(F7:F15)&lt;&gt;0,OR($H$11="-",$E$13&lt;&gt;"oui",$E$15&lt;&gt;"oui")),"-",SUM(F7:F15))</f>
        <v>0</v>
      </c>
      <c r="G5" s="108" t="str">
        <f>IF(OR(F5="-",F5=0),"L'ENSEMBLE DES INDICATEURS SOCLE CONSTITUENT LE PREREQUIS A TOUTE REMUNERATION","")</f>
        <v>L'ENSEMBLE DES INDICATEURS SOCLE CONSTITUENT LE PREREQUIS A TOUTE REMUNERATION</v>
      </c>
      <c r="H5" s="109"/>
      <c r="I5" s="110"/>
    </row>
    <row r="6" spans="1:9" ht="15.75" thickBot="1">
      <c r="B6" s="49" t="s">
        <v>17</v>
      </c>
    </row>
    <row r="7" spans="1:9" ht="30">
      <c r="C7" s="154" t="s">
        <v>127</v>
      </c>
      <c r="D7" s="50" t="s">
        <v>126</v>
      </c>
      <c r="E7" s="99" t="s">
        <v>6</v>
      </c>
      <c r="F7" s="151" t="str">
        <f>H11</f>
        <v>-</v>
      </c>
      <c r="G7" s="111" t="s">
        <v>10</v>
      </c>
      <c r="H7" s="112">
        <v>600</v>
      </c>
      <c r="I7" s="113" t="s">
        <v>99</v>
      </c>
    </row>
    <row r="8" spans="1:9">
      <c r="C8" s="155"/>
      <c r="D8" s="54" t="s">
        <v>85</v>
      </c>
      <c r="E8" s="13" t="s">
        <v>6</v>
      </c>
      <c r="F8" s="161"/>
      <c r="G8" s="114" t="s">
        <v>7</v>
      </c>
      <c r="H8" s="115" t="str">
        <f>IF($E$7="Moins de 12 h (et + de 10)",-30,IF($E$7="Moins de 10 h (et + de 8)",-70,"-"))</f>
        <v>-</v>
      </c>
      <c r="I8" s="116" t="s">
        <v>82</v>
      </c>
    </row>
    <row r="9" spans="1:9" ht="45">
      <c r="C9" s="155"/>
      <c r="D9" s="58" t="s">
        <v>100</v>
      </c>
      <c r="E9" s="13" t="s">
        <v>6</v>
      </c>
      <c r="F9" s="161"/>
      <c r="G9" s="114" t="s">
        <v>9</v>
      </c>
      <c r="H9" s="115" t="str">
        <f>IF($E$8="non",-50,"-")</f>
        <v>-</v>
      </c>
      <c r="I9" s="116" t="s">
        <v>83</v>
      </c>
    </row>
    <row r="10" spans="1:9" ht="30">
      <c r="C10" s="155"/>
      <c r="D10" s="59" t="s">
        <v>4</v>
      </c>
      <c r="E10" s="13" t="s">
        <v>6</v>
      </c>
      <c r="F10" s="161"/>
      <c r="G10" s="114" t="s">
        <v>8</v>
      </c>
      <c r="H10" s="115" t="str">
        <f>IF($E$9="oui",-20,"-")</f>
        <v>-</v>
      </c>
      <c r="I10" s="116" t="s">
        <v>84</v>
      </c>
    </row>
    <row r="11" spans="1:9" ht="30.75" thickBot="1">
      <c r="C11" s="156"/>
      <c r="D11" s="61" t="s">
        <v>5</v>
      </c>
      <c r="E11" s="14" t="s">
        <v>6</v>
      </c>
      <c r="F11" s="162"/>
      <c r="G11" s="117" t="s">
        <v>15</v>
      </c>
      <c r="H11" s="118" t="str">
        <f>IF(AND(E7&lt;&gt;"Moins de 8 h",E7&lt;&gt;"-",E10="oui",E11="oui"),SUM(H7:H10),"-")</f>
        <v>-</v>
      </c>
      <c r="I11" s="119"/>
    </row>
    <row r="12" spans="1:9" ht="15.75" thickBot="1">
      <c r="B12" s="49" t="s">
        <v>13</v>
      </c>
      <c r="G12" s="120"/>
    </row>
    <row r="13" spans="1:9" ht="78" customHeight="1" thickBot="1">
      <c r="C13" s="66" t="s">
        <v>104</v>
      </c>
      <c r="D13" s="121" t="s">
        <v>86</v>
      </c>
      <c r="E13" s="15" t="s">
        <v>6</v>
      </c>
      <c r="F13" s="68" t="str">
        <f>H13</f>
        <v>-</v>
      </c>
      <c r="G13" s="122" t="s">
        <v>15</v>
      </c>
      <c r="H13" s="123" t="str">
        <f>IF($E$13="oui",200,"-")</f>
        <v>-</v>
      </c>
      <c r="I13" s="124" t="s">
        <v>63</v>
      </c>
    </row>
    <row r="14" spans="1:9" ht="15.75" thickBot="1">
      <c r="B14" s="49" t="s">
        <v>33</v>
      </c>
      <c r="G14" s="120"/>
    </row>
    <row r="15" spans="1:9" ht="45.75" thickBot="1">
      <c r="C15" s="125"/>
      <c r="D15" s="67" t="s">
        <v>105</v>
      </c>
      <c r="E15" s="15" t="s">
        <v>6</v>
      </c>
      <c r="F15" s="68" t="str">
        <f>H15</f>
        <v>-</v>
      </c>
      <c r="G15" s="122" t="s">
        <v>15</v>
      </c>
      <c r="H15" s="123" t="str">
        <f>IF($E$15="oui",250+$E$3*450/2600,"-")</f>
        <v>-</v>
      </c>
      <c r="I15" s="126" t="s">
        <v>87</v>
      </c>
    </row>
    <row r="16" spans="1:9">
      <c r="G16" s="120"/>
    </row>
    <row r="17" spans="1:9" s="48" customFormat="1" ht="18.75">
      <c r="A17" s="105" t="s">
        <v>32</v>
      </c>
      <c r="B17" s="106"/>
      <c r="C17" s="105"/>
      <c r="D17" s="105"/>
      <c r="E17" s="105"/>
      <c r="F17" s="107">
        <f>IF(AND(SUM(F19:F22)&lt;&gt;0,OR($F$5=0,$F$5="-")),"-",SUM(F19:F22))</f>
        <v>0</v>
      </c>
      <c r="G17" s="108" t="str">
        <f>IF(F17="-","(Bloc non pris en compte car les obligations socle doivent être préalablement satisfaites)","")</f>
        <v/>
      </c>
      <c r="H17" s="127"/>
      <c r="I17" s="128"/>
    </row>
    <row r="18" spans="1:9" ht="15.75" thickBot="1">
      <c r="B18" s="49" t="s">
        <v>17</v>
      </c>
      <c r="G18" s="120"/>
    </row>
    <row r="19" spans="1:9" ht="48" thickBot="1">
      <c r="C19" s="66" t="s">
        <v>2</v>
      </c>
      <c r="D19" s="67" t="s">
        <v>88</v>
      </c>
      <c r="E19" s="16">
        <v>0</v>
      </c>
      <c r="F19" s="68" t="str">
        <f>H19</f>
        <v>-</v>
      </c>
      <c r="G19" s="129" t="s">
        <v>15</v>
      </c>
      <c r="H19" s="123" t="str">
        <f>IF($E$19&gt;0,$E$19*$E$3*200/2600,"-")</f>
        <v>-</v>
      </c>
      <c r="I19" s="126" t="s">
        <v>111</v>
      </c>
    </row>
    <row r="20" spans="1:9" ht="15.75" thickBot="1">
      <c r="B20" s="49" t="s">
        <v>13</v>
      </c>
      <c r="C20" s="130"/>
      <c r="G20" s="120"/>
    </row>
    <row r="21" spans="1:9" ht="75" customHeight="1" thickBot="1">
      <c r="C21" s="66" t="s">
        <v>51</v>
      </c>
      <c r="D21" s="67" t="s">
        <v>90</v>
      </c>
      <c r="E21" s="15" t="s">
        <v>6</v>
      </c>
      <c r="F21" s="68" t="str">
        <f>H21</f>
        <v>-</v>
      </c>
      <c r="G21" s="122" t="s">
        <v>15</v>
      </c>
      <c r="H21" s="123" t="str">
        <f>IF($E$21="oui",250,"-")</f>
        <v>-</v>
      </c>
      <c r="I21" s="126" t="s">
        <v>89</v>
      </c>
    </row>
    <row r="22" spans="1:9" ht="67.5" customHeight="1" thickBot="1">
      <c r="C22" s="66" t="s">
        <v>0</v>
      </c>
      <c r="D22" s="67" t="s">
        <v>91</v>
      </c>
      <c r="E22" s="16">
        <v>0</v>
      </c>
      <c r="F22" s="68" t="str">
        <f>H22</f>
        <v>-</v>
      </c>
      <c r="G22" s="122" t="s">
        <v>15</v>
      </c>
      <c r="H22" s="123" t="str">
        <f>IF($E$22&gt;=2,500,IF($E$22=1,250,"-"))</f>
        <v>-</v>
      </c>
      <c r="I22" s="124" t="s">
        <v>92</v>
      </c>
    </row>
    <row r="23" spans="1:9">
      <c r="G23" s="120"/>
    </row>
    <row r="24" spans="1:9" s="48" customFormat="1" ht="18.75">
      <c r="A24" s="105" t="s">
        <v>57</v>
      </c>
      <c r="B24" s="106"/>
      <c r="C24" s="105"/>
      <c r="D24" s="105"/>
      <c r="E24" s="105"/>
      <c r="F24" s="107">
        <f>IF(AND(SUM(F26:F32)&lt;&gt;0,OR($F$5=0,$F$5="-")),"-",SUM(F26:F32))</f>
        <v>0</v>
      </c>
      <c r="G24" s="108" t="str">
        <f>IF(F24="-","(Bloc non pris en compte car les obligations socle doivent être préalablement satisfaites)","")</f>
        <v/>
      </c>
      <c r="H24" s="127"/>
      <c r="I24" s="128"/>
    </row>
    <row r="25" spans="1:9" ht="15.75" thickBot="1">
      <c r="B25" s="49" t="s">
        <v>17</v>
      </c>
      <c r="G25" s="120"/>
    </row>
    <row r="26" spans="1:9" ht="87.75" customHeight="1" thickBot="1">
      <c r="C26" s="66" t="s">
        <v>58</v>
      </c>
      <c r="D26" s="67" t="s">
        <v>59</v>
      </c>
      <c r="E26" s="17">
        <v>0</v>
      </c>
      <c r="F26" s="68" t="str">
        <f>H26</f>
        <v>-</v>
      </c>
      <c r="G26" s="69" t="s">
        <v>15</v>
      </c>
      <c r="H26" s="70" t="str">
        <f>IF($E$26&gt;0.02,200,IF($E$26&gt;0,100,"-"))</f>
        <v>-</v>
      </c>
      <c r="I26" s="71" t="s">
        <v>60</v>
      </c>
    </row>
    <row r="27" spans="1:9" ht="42.75" thickBot="1">
      <c r="C27" s="66" t="s">
        <v>1</v>
      </c>
      <c r="D27" s="87" t="s">
        <v>93</v>
      </c>
      <c r="E27" s="15" t="s">
        <v>6</v>
      </c>
      <c r="F27" s="68" t="str">
        <f>H27</f>
        <v>-</v>
      </c>
      <c r="G27" s="69" t="s">
        <v>15</v>
      </c>
      <c r="H27" s="70" t="str">
        <f>IF($E$27="oui",50,"-")</f>
        <v>-</v>
      </c>
      <c r="I27" s="71" t="s">
        <v>65</v>
      </c>
    </row>
    <row r="28" spans="1:9" ht="15.75" thickBot="1">
      <c r="B28" s="49" t="s">
        <v>13</v>
      </c>
      <c r="G28" s="120"/>
    </row>
    <row r="29" spans="1:9" ht="54.75" customHeight="1" thickBot="1">
      <c r="C29" s="66" t="s">
        <v>66</v>
      </c>
      <c r="D29" s="67" t="s">
        <v>67</v>
      </c>
      <c r="E29" s="15" t="s">
        <v>6</v>
      </c>
      <c r="F29" s="68" t="str">
        <f>H29</f>
        <v>-</v>
      </c>
      <c r="G29" s="122" t="s">
        <v>15</v>
      </c>
      <c r="H29" s="123" t="str">
        <f>IF(AND($E$29&gt;=1,$E$29&lt;=4),100+($E$29-1)*150,"-")</f>
        <v>-</v>
      </c>
      <c r="I29" s="124" t="s">
        <v>68</v>
      </c>
    </row>
    <row r="30" spans="1:9" ht="15.75" thickBot="1">
      <c r="B30" s="49" t="s">
        <v>33</v>
      </c>
      <c r="G30" s="120"/>
    </row>
    <row r="31" spans="1:9">
      <c r="C31" s="88"/>
      <c r="D31" s="177" t="s">
        <v>73</v>
      </c>
      <c r="E31" s="179" t="s">
        <v>6</v>
      </c>
      <c r="F31" s="151" t="str">
        <f>H31</f>
        <v>-</v>
      </c>
      <c r="G31" s="131" t="s">
        <v>15</v>
      </c>
      <c r="H31" s="112" t="str">
        <f>IF($E$31="oui",$H$32*120/3,"-")</f>
        <v>-</v>
      </c>
      <c r="I31" s="132" t="s">
        <v>94</v>
      </c>
    </row>
    <row r="32" spans="1:9" ht="15.75" thickBot="1">
      <c r="C32" s="133"/>
      <c r="D32" s="178"/>
      <c r="E32" s="180"/>
      <c r="F32" s="162"/>
      <c r="G32" s="98" t="s">
        <v>95</v>
      </c>
      <c r="H32" s="18">
        <v>3</v>
      </c>
      <c r="I32" s="119"/>
    </row>
  </sheetData>
  <sheetProtection password="9BFD" sheet="1" objects="1" scenarios="1" formatCells="0" formatColumns="0" formatRows="0"/>
  <mergeCells count="5">
    <mergeCell ref="C7:C11"/>
    <mergeCell ref="F7:F11"/>
    <mergeCell ref="D31:D32"/>
    <mergeCell ref="E31:E32"/>
    <mergeCell ref="F31:F32"/>
  </mergeCells>
  <dataValidations count="5">
    <dataValidation type="list" allowBlank="1" showInputMessage="1" showErrorMessage="1" prompt="Nombre à indiquer" sqref="E29">
      <formula1>"-,1,2,3,4"</formula1>
    </dataValidation>
    <dataValidation type="list" allowBlank="1" showInputMessage="1" showErrorMessage="1" prompt="Utilisez la liste" sqref="E7">
      <formula1>"-,Moins de 8 h,Moins de 10 h (et + de 8),Moins de 12 h (et + de 10),12 h et +"</formula1>
    </dataValidation>
    <dataValidation type="list" allowBlank="1" showInputMessage="1" showErrorMessage="1" prompt="oui / non" sqref="E8:E11 E13 E15 E21 E27 E31:E32">
      <formula1>"-,oui,non"</formula1>
    </dataValidation>
    <dataValidation allowBlank="1" showInputMessage="1" showErrorMessage="1" prompt="Nombre à indiquer" sqref="E19 E22"/>
    <dataValidation allowBlank="1" showInputMessage="1" showErrorMessage="1" prompt="Pourcentage à indiquer" sqref="E26"/>
  </dataValidations>
  <printOptions horizontalCentered="1"/>
  <pageMargins left="0.70866141732283472" right="0.70866141732283472" top="0.35" bottom="0.51181102362204722" header="0.31496062992125984" footer="0.31496062992125984"/>
  <pageSetup paperSize="9" scale="57" orientation="landscape" r:id="rId1"/>
  <headerFooter>
    <oddFooter>&amp;L&amp;8Cpam de l'Essonne
Document non contractuel&amp;C&amp;8imp du &amp;D&amp;R&amp;8CDS dentaire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I36"/>
  <sheetViews>
    <sheetView showGridLines="0" zoomScaleNormal="100" workbookViewId="0"/>
  </sheetViews>
  <sheetFormatPr baseColWidth="10" defaultRowHeight="15"/>
  <cols>
    <col min="1" max="1" width="3.7109375" style="36" customWidth="1"/>
    <col min="2" max="2" width="20.7109375" style="103" customWidth="1"/>
    <col min="3" max="3" width="11.7109375" style="36" customWidth="1"/>
    <col min="4" max="4" width="41.7109375" style="36" customWidth="1"/>
    <col min="5" max="5" width="13.7109375" style="49" customWidth="1"/>
    <col min="6" max="6" width="11.7109375" style="38" customWidth="1"/>
    <col min="7" max="7" width="21.28515625" style="36" customWidth="1"/>
    <col min="8" max="8" width="6.7109375" style="104" customWidth="1"/>
    <col min="9" max="9" width="77.85546875" style="36" customWidth="1"/>
    <col min="10" max="16384" width="11.42578125" style="36"/>
  </cols>
  <sheetData>
    <row r="1" spans="1:9" s="29" customFormat="1" ht="26.25">
      <c r="A1" s="29" t="s">
        <v>120</v>
      </c>
      <c r="B1" s="101"/>
      <c r="E1" s="31"/>
      <c r="F1" s="32"/>
      <c r="H1" s="102"/>
      <c r="I1" s="35" t="str">
        <f ca="1">SUM(F5,F20,F26)&amp;" points"</f>
        <v>0 points</v>
      </c>
    </row>
    <row r="3" spans="1:9">
      <c r="C3" s="36" t="s">
        <v>123</v>
      </c>
      <c r="E3" s="19">
        <v>450</v>
      </c>
    </row>
    <row r="5" spans="1:9" ht="18.75">
      <c r="A5" s="134" t="s">
        <v>3</v>
      </c>
      <c r="B5" s="135"/>
      <c r="C5" s="134"/>
      <c r="D5" s="134"/>
      <c r="E5" s="134"/>
      <c r="F5" s="136">
        <f ca="1">IF(AND(SUM(F7:F18)&lt;&gt;0,OR($H$7="-",$E$11&lt;&gt;"oui",$H$12="-",$E$17="-")),"-",SUM(F7:F18))</f>
        <v>0</v>
      </c>
      <c r="G5" s="137" t="str">
        <f ca="1">IF(OR(F5="-",F5=0),"L'ENSEMBLE DES INDICATEURS SOCLE CONSTITUENT LE PREREQUIS A TOUTE REMUNERATION","")</f>
        <v>L'ENSEMBLE DES INDICATEURS SOCLE CONSTITUENT LE PREREQUIS A TOUTE REMUNERATION</v>
      </c>
      <c r="H5" s="138"/>
      <c r="I5" s="137"/>
    </row>
    <row r="6" spans="1:9" ht="15.75" thickBot="1">
      <c r="B6" s="49" t="s">
        <v>17</v>
      </c>
    </row>
    <row r="7" spans="1:9" ht="30">
      <c r="C7" s="193" t="s">
        <v>127</v>
      </c>
      <c r="D7" s="139" t="s">
        <v>102</v>
      </c>
      <c r="E7" s="100" t="s">
        <v>6</v>
      </c>
      <c r="F7" s="151" t="str">
        <f>H7</f>
        <v>-</v>
      </c>
      <c r="G7" s="196" t="s">
        <v>15</v>
      </c>
      <c r="H7" s="181" t="str">
        <f>IF(AND(E7="oui",E8="oui",E9="oui"),400,"-")</f>
        <v>-</v>
      </c>
      <c r="I7" s="184" t="s">
        <v>101</v>
      </c>
    </row>
    <row r="8" spans="1:9" ht="30">
      <c r="C8" s="194"/>
      <c r="D8" s="140" t="s">
        <v>5</v>
      </c>
      <c r="E8" s="20" t="s">
        <v>6</v>
      </c>
      <c r="F8" s="161"/>
      <c r="G8" s="197"/>
      <c r="H8" s="182"/>
      <c r="I8" s="185"/>
    </row>
    <row r="9" spans="1:9" ht="15.75" thickBot="1">
      <c r="C9" s="195"/>
      <c r="D9" s="141" t="s">
        <v>96</v>
      </c>
      <c r="E9" s="25" t="s">
        <v>6</v>
      </c>
      <c r="F9" s="162"/>
      <c r="G9" s="198"/>
      <c r="H9" s="183"/>
      <c r="I9" s="186"/>
    </row>
    <row r="10" spans="1:9" ht="15.75" thickBot="1">
      <c r="B10" s="49" t="s">
        <v>13</v>
      </c>
    </row>
    <row r="11" spans="1:9" ht="114.75" thickBot="1">
      <c r="C11" s="66" t="s">
        <v>104</v>
      </c>
      <c r="D11" s="121" t="s">
        <v>103</v>
      </c>
      <c r="E11" s="21" t="s">
        <v>6</v>
      </c>
      <c r="F11" s="68" t="str">
        <f>H11</f>
        <v>-</v>
      </c>
      <c r="G11" s="122" t="s">
        <v>15</v>
      </c>
      <c r="H11" s="123" t="str">
        <f>IF($E$11="oui",400,"-")</f>
        <v>-</v>
      </c>
      <c r="I11" s="124" t="s">
        <v>97</v>
      </c>
    </row>
    <row r="12" spans="1:9" ht="45">
      <c r="C12" s="154" t="s">
        <v>0</v>
      </c>
      <c r="D12" s="82" t="s">
        <v>110</v>
      </c>
      <c r="E12" s="22" t="s">
        <v>6</v>
      </c>
      <c r="F12" s="151" t="str">
        <f>H12</f>
        <v>-</v>
      </c>
      <c r="G12" s="187" t="s">
        <v>15</v>
      </c>
      <c r="H12" s="181" t="str">
        <f>IF(AND($E$12="oui",$E$13="oui",$E$14="oui",$E$15="oui"),$E$3*300/450,"-")</f>
        <v>-</v>
      </c>
      <c r="I12" s="190" t="s">
        <v>106</v>
      </c>
    </row>
    <row r="13" spans="1:9" ht="45">
      <c r="C13" s="155"/>
      <c r="D13" s="83" t="s">
        <v>107</v>
      </c>
      <c r="E13" s="23" t="s">
        <v>6</v>
      </c>
      <c r="F13" s="161"/>
      <c r="G13" s="188"/>
      <c r="H13" s="182"/>
      <c r="I13" s="191"/>
    </row>
    <row r="14" spans="1:9" ht="30">
      <c r="C14" s="155"/>
      <c r="D14" s="83" t="s">
        <v>108</v>
      </c>
      <c r="E14" s="23" t="s">
        <v>6</v>
      </c>
      <c r="F14" s="161"/>
      <c r="G14" s="188"/>
      <c r="H14" s="182"/>
      <c r="I14" s="191"/>
    </row>
    <row r="15" spans="1:9" ht="30.75" customHeight="1" thickBot="1">
      <c r="C15" s="156"/>
      <c r="D15" s="142" t="s">
        <v>109</v>
      </c>
      <c r="E15" s="24" t="s">
        <v>6</v>
      </c>
      <c r="F15" s="162"/>
      <c r="G15" s="189"/>
      <c r="H15" s="183"/>
      <c r="I15" s="192"/>
    </row>
    <row r="16" spans="1:9" ht="15.75" thickBot="1">
      <c r="B16" s="49" t="s">
        <v>33</v>
      </c>
    </row>
    <row r="17" spans="1:9" ht="76.5" customHeight="1">
      <c r="C17" s="72"/>
      <c r="D17" s="199" t="s">
        <v>114</v>
      </c>
      <c r="E17" s="201" t="s">
        <v>6</v>
      </c>
      <c r="F17" s="203" t="str">
        <f ca="1">H17</f>
        <v>-</v>
      </c>
      <c r="G17" s="131" t="s">
        <v>15</v>
      </c>
      <c r="H17" s="143" t="str">
        <f ca="1">IF(OR($E$17="-",AND(TODAY()&gt;=DATEVALUE("1/7/2017"),RIGHT($E$17,1)="1")),"-",RIGHT($E$17,1)*(200+$H$18*300/6))</f>
        <v>-</v>
      </c>
      <c r="I17" s="190" t="s">
        <v>116</v>
      </c>
    </row>
    <row r="18" spans="1:9" ht="15.75" thickBot="1">
      <c r="C18" s="133"/>
      <c r="D18" s="200"/>
      <c r="E18" s="202"/>
      <c r="F18" s="204"/>
      <c r="G18" s="98" t="s">
        <v>115</v>
      </c>
      <c r="H18" s="26">
        <v>6</v>
      </c>
      <c r="I18" s="192"/>
    </row>
    <row r="20" spans="1:9" ht="18.75">
      <c r="A20" s="134" t="s">
        <v>32</v>
      </c>
      <c r="B20" s="135"/>
      <c r="C20" s="134"/>
      <c r="D20" s="134"/>
      <c r="E20" s="134"/>
      <c r="F20" s="136">
        <f ca="1">IF(AND(SUM(F22:F24)&lt;&gt;0,OR($F$5=0,$F$5="-")),"-",SUM(F22:F24))</f>
        <v>0</v>
      </c>
      <c r="G20" s="137" t="str">
        <f ca="1">IF(F20="-","(Bloc non pris en compte car les obligations socle doivent être préalablement satisfaites)","")</f>
        <v/>
      </c>
      <c r="H20" s="144"/>
      <c r="I20" s="145"/>
    </row>
    <row r="21" spans="1:9" ht="15.75" thickBot="1">
      <c r="A21" s="146"/>
      <c r="B21" s="147" t="s">
        <v>17</v>
      </c>
      <c r="D21" s="146"/>
    </row>
    <row r="22" spans="1:9" ht="48" thickBot="1">
      <c r="A22" s="146"/>
      <c r="C22" s="66" t="s">
        <v>2</v>
      </c>
      <c r="D22" s="148" t="s">
        <v>35</v>
      </c>
      <c r="E22" s="27">
        <v>0</v>
      </c>
      <c r="F22" s="68" t="str">
        <f>H22</f>
        <v>-</v>
      </c>
      <c r="G22" s="129" t="s">
        <v>15</v>
      </c>
      <c r="H22" s="123" t="str">
        <f>IF($E$22&gt;=2,2*$E$3*200/450,IF($E$22&gt;0,$E$22*$E$3*200/450,"-"))</f>
        <v>-</v>
      </c>
      <c r="I22" s="126" t="s">
        <v>112</v>
      </c>
    </row>
    <row r="23" spans="1:9" ht="15.75" thickBot="1">
      <c r="A23" s="146"/>
      <c r="B23" s="147" t="s">
        <v>13</v>
      </c>
      <c r="D23" s="146"/>
    </row>
    <row r="24" spans="1:9" ht="75" customHeight="1" thickBot="1">
      <c r="A24" s="146"/>
      <c r="C24" s="66" t="s">
        <v>51</v>
      </c>
      <c r="D24" s="148" t="s">
        <v>113</v>
      </c>
      <c r="E24" s="21" t="s">
        <v>6</v>
      </c>
      <c r="F24" s="68" t="str">
        <f>H24</f>
        <v>-</v>
      </c>
      <c r="G24" s="122" t="s">
        <v>15</v>
      </c>
      <c r="H24" s="123" t="str">
        <f>IF($E$24="oui",250,"-")</f>
        <v>-</v>
      </c>
      <c r="I24" s="126" t="s">
        <v>89</v>
      </c>
    </row>
    <row r="25" spans="1:9" ht="30" customHeight="1">
      <c r="A25" s="146"/>
      <c r="C25" s="146"/>
      <c r="D25" s="146"/>
    </row>
    <row r="26" spans="1:9" ht="18.75">
      <c r="A26" s="134" t="s">
        <v>57</v>
      </c>
      <c r="B26" s="135"/>
      <c r="C26" s="134"/>
      <c r="D26" s="134"/>
      <c r="E26" s="134"/>
      <c r="F26" s="136">
        <f ca="1">IF(AND(SUM(F28:F35)&lt;&gt;0,OR($F$5=0,$F$5="-")),"-",SUM(F28:F35))</f>
        <v>0</v>
      </c>
      <c r="G26" s="137" t="str">
        <f ca="1">IF(F26="-","(Bloc non pris en compte car les obligations socle doivent être préalablement satisfaites)","")</f>
        <v/>
      </c>
      <c r="H26" s="144"/>
      <c r="I26" s="145"/>
    </row>
    <row r="27" spans="1:9" ht="15.75" thickBot="1">
      <c r="B27" s="49" t="s">
        <v>17</v>
      </c>
    </row>
    <row r="28" spans="1:9" ht="88.5" customHeight="1" thickBot="1">
      <c r="C28" s="66" t="s">
        <v>58</v>
      </c>
      <c r="D28" s="67" t="s">
        <v>59</v>
      </c>
      <c r="E28" s="28">
        <v>0</v>
      </c>
      <c r="F28" s="68" t="str">
        <f>H28</f>
        <v>-</v>
      </c>
      <c r="G28" s="122" t="s">
        <v>15</v>
      </c>
      <c r="H28" s="123" t="str">
        <f>IF($E$28&gt;0.02,200,IF($E$28&gt;0,100,"-"))</f>
        <v>-</v>
      </c>
      <c r="I28" s="124" t="s">
        <v>60</v>
      </c>
    </row>
    <row r="29" spans="1:9" ht="42.75" thickBot="1">
      <c r="C29" s="66" t="s">
        <v>1</v>
      </c>
      <c r="D29" s="87" t="s">
        <v>93</v>
      </c>
      <c r="E29" s="21" t="s">
        <v>6</v>
      </c>
      <c r="F29" s="68" t="str">
        <f>H29</f>
        <v>-</v>
      </c>
      <c r="G29" s="122" t="s">
        <v>15</v>
      </c>
      <c r="H29" s="123" t="str">
        <f>IF($E$29="oui",50,"-")</f>
        <v>-</v>
      </c>
      <c r="I29" s="124" t="s">
        <v>65</v>
      </c>
    </row>
    <row r="30" spans="1:9" ht="15.75" thickBot="1">
      <c r="B30" s="49" t="s">
        <v>13</v>
      </c>
    </row>
    <row r="31" spans="1:9" ht="54.75" customHeight="1" thickBot="1">
      <c r="C31" s="66" t="s">
        <v>66</v>
      </c>
      <c r="D31" s="67" t="s">
        <v>67</v>
      </c>
      <c r="E31" s="21" t="s">
        <v>6</v>
      </c>
      <c r="F31" s="68" t="str">
        <f>H31</f>
        <v>-</v>
      </c>
      <c r="G31" s="122" t="s">
        <v>15</v>
      </c>
      <c r="H31" s="123" t="str">
        <f>IF(AND($E$31&gt;=1,$E$31&lt;=4),100+($E$31-1)*150,"-")</f>
        <v>-</v>
      </c>
      <c r="I31" s="124" t="s">
        <v>68</v>
      </c>
    </row>
    <row r="32" spans="1:9" ht="15.75" thickBot="1">
      <c r="B32" s="49" t="s">
        <v>33</v>
      </c>
    </row>
    <row r="33" spans="3:9">
      <c r="C33" s="88"/>
      <c r="D33" s="177" t="s">
        <v>73</v>
      </c>
      <c r="E33" s="201" t="s">
        <v>6</v>
      </c>
      <c r="F33" s="151" t="str">
        <f>H33</f>
        <v>-</v>
      </c>
      <c r="G33" s="131" t="s">
        <v>15</v>
      </c>
      <c r="H33" s="112" t="str">
        <f>IF($E$33="oui",$H$34*240/6,"-")</f>
        <v>-</v>
      </c>
      <c r="I33" s="132" t="s">
        <v>118</v>
      </c>
    </row>
    <row r="34" spans="3:9" ht="18" customHeight="1" thickBot="1">
      <c r="C34" s="133"/>
      <c r="D34" s="178"/>
      <c r="E34" s="202"/>
      <c r="F34" s="162"/>
      <c r="G34" s="98" t="s">
        <v>77</v>
      </c>
      <c r="H34" s="26">
        <v>6</v>
      </c>
      <c r="I34" s="119"/>
    </row>
    <row r="35" spans="3:9" ht="27" thickBot="1">
      <c r="C35" s="84"/>
      <c r="D35" s="87" t="s">
        <v>72</v>
      </c>
      <c r="E35" s="21" t="s">
        <v>6</v>
      </c>
      <c r="F35" s="68" t="str">
        <f>H35</f>
        <v>-</v>
      </c>
      <c r="G35" s="122" t="s">
        <v>15</v>
      </c>
      <c r="H35" s="123" t="str">
        <f>IF($E$35="oui",$H$34*83/6,"-")</f>
        <v>-</v>
      </c>
      <c r="I35" s="126" t="s">
        <v>119</v>
      </c>
    </row>
    <row r="36" spans="3:9">
      <c r="G36" s="149"/>
      <c r="H36" s="150"/>
    </row>
  </sheetData>
  <sheetProtection password="9BFD" sheet="1" objects="1" scenarios="1" formatCells="0" formatColumns="0" formatRows="0"/>
  <mergeCells count="17">
    <mergeCell ref="D17:D18"/>
    <mergeCell ref="E17:E18"/>
    <mergeCell ref="I17:I18"/>
    <mergeCell ref="F17:F18"/>
    <mergeCell ref="D33:D34"/>
    <mergeCell ref="E33:E34"/>
    <mergeCell ref="F33:F34"/>
    <mergeCell ref="H7:H9"/>
    <mergeCell ref="I7:I9"/>
    <mergeCell ref="F7:F9"/>
    <mergeCell ref="C12:C15"/>
    <mergeCell ref="G12:G15"/>
    <mergeCell ref="H12:H15"/>
    <mergeCell ref="I12:I15"/>
    <mergeCell ref="C7:C9"/>
    <mergeCell ref="G7:G9"/>
    <mergeCell ref="F12:F15"/>
  </mergeCells>
  <dataValidations xWindow="617" yWindow="443" count="7">
    <dataValidation type="list" allowBlank="1" showInputMessage="1" showErrorMessage="1" prompt="oui / non" sqref="E35">
      <formula1>"-,oui,non"</formula1>
    </dataValidation>
    <dataValidation type="list" allowBlank="1" showInputMessage="1" showErrorMessage="1" prompt="Nombre à indiquer" sqref="E31">
      <formula1>"-,1,2,3,4"</formula1>
    </dataValidation>
    <dataValidation type="list" allowBlank="1" showInputMessage="1" showErrorMessage="1" prompt="oui / non" sqref="E7 E9 E11:E15 E24 E29 E33:E34">
      <formula1>"-,oui,non"</formula1>
    </dataValidation>
    <dataValidation type="list" allowBlank="1" showInputMessage="1" showErrorMessage="1" prompt="oui / non" sqref="E8">
      <formula1>"-,oui,non"</formula1>
    </dataValidation>
    <dataValidation type="list" allowBlank="1" showInputMessage="1" showErrorMessage="1" prompt="Utilisez la liste" sqref="E17:E18">
      <formula1>"-,Niveau 1,Niveau 2,"</formula1>
    </dataValidation>
    <dataValidation allowBlank="1" showInputMessage="1" showErrorMessage="1" prompt="Nombre à indiquer" sqref="E22"/>
    <dataValidation allowBlank="1" showInputMessage="1" showErrorMessage="1" prompt="Pourcentage à indiquer" sqref="E28"/>
  </dataValidations>
  <printOptions horizontalCentered="1"/>
  <pageMargins left="0.25" right="0.25" top="0.39" bottom="0.59" header="0.3" footer="0.3"/>
  <pageSetup paperSize="9" scale="68" fitToHeight="2" orientation="landscape" r:id="rId1"/>
  <headerFooter>
    <oddFooter>&amp;LCpam de l'Essonne
Document non contractuel&amp;Cimp du &amp;D&amp;RCDS infirmier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MED OU POLY</vt:lpstr>
      <vt:lpstr>DENT</vt:lpstr>
      <vt:lpstr>INF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BEDDIAR-01033</dc:creator>
  <cp:lastModifiedBy>Eric</cp:lastModifiedBy>
  <cp:lastPrinted>2015-11-19T08:14:41Z</cp:lastPrinted>
  <dcterms:created xsi:type="dcterms:W3CDTF">2015-10-20T10:08:07Z</dcterms:created>
  <dcterms:modified xsi:type="dcterms:W3CDTF">2016-04-17T17:46:07Z</dcterms:modified>
</cp:coreProperties>
</file>